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120" windowHeight="8070"/>
  </bookViews>
  <sheets>
    <sheet name="Vlaanderen Globaal" sheetId="1" r:id="rId1"/>
    <sheet name="Minder- en meerderjarigen" sheetId="11" r:id="rId2"/>
    <sheet name="Antwerpen" sheetId="12" r:id="rId3"/>
    <sheet name="Limburg" sheetId="13" r:id="rId4"/>
    <sheet name="Oost-Vlaanderen" sheetId="15" r:id="rId5"/>
    <sheet name="Vlaams-Brabant en Brussel" sheetId="14" r:id="rId6"/>
    <sheet name="West-Vlaanderen" sheetId="4" r:id="rId7"/>
  </sheets>
  <calcPr calcId="144525"/>
</workbook>
</file>

<file path=xl/calcChain.xml><?xml version="1.0" encoding="utf-8"?>
<calcChain xmlns="http://schemas.openxmlformats.org/spreadsheetml/2006/main">
  <c r="C19" i="1" l="1"/>
  <c r="G28" i="1"/>
  <c r="G26" i="1"/>
  <c r="F30" i="1"/>
  <c r="E30" i="1"/>
  <c r="E28" i="1"/>
  <c r="E26" i="1"/>
  <c r="E24" i="1"/>
  <c r="E22" i="1"/>
  <c r="E21" i="1"/>
  <c r="E11" i="1"/>
  <c r="E12" i="1"/>
  <c r="E14" i="1"/>
  <c r="E13" i="1"/>
  <c r="E4" i="1"/>
  <c r="E2" i="1"/>
  <c r="D18" i="11"/>
  <c r="D17" i="11"/>
  <c r="D16" i="11"/>
  <c r="D15" i="11"/>
  <c r="D10" i="11"/>
  <c r="D9" i="11"/>
  <c r="D8" i="11"/>
  <c r="D7" i="11"/>
  <c r="D6" i="11"/>
  <c r="D5" i="11"/>
  <c r="D2" i="11"/>
  <c r="D21" i="15"/>
  <c r="D18" i="15"/>
  <c r="E10" i="15"/>
  <c r="E9" i="15"/>
  <c r="E8" i="15"/>
  <c r="E7" i="15"/>
  <c r="E6" i="15"/>
  <c r="E32" i="15"/>
  <c r="E27" i="15"/>
  <c r="E21" i="15"/>
  <c r="E20" i="15"/>
  <c r="E19" i="15"/>
  <c r="E18" i="15"/>
  <c r="E22" i="15" s="1"/>
  <c r="D15" i="15"/>
  <c r="E14" i="15"/>
  <c r="E15" i="15" s="1"/>
  <c r="H15" i="15" s="1"/>
  <c r="D12" i="15"/>
  <c r="E5" i="15"/>
  <c r="E11" i="15" s="1"/>
  <c r="E12" i="15"/>
  <c r="F28" i="1"/>
  <c r="F26" i="1"/>
  <c r="F24" i="1"/>
  <c r="F22" i="1"/>
  <c r="F21" i="1"/>
  <c r="F15" i="1"/>
  <c r="H15" i="1" s="1"/>
  <c r="F14" i="1"/>
  <c r="F13" i="1"/>
  <c r="F11" i="1"/>
  <c r="F10" i="1"/>
  <c r="H10" i="1" s="1"/>
  <c r="K10" i="1" s="1"/>
  <c r="F9" i="1"/>
  <c r="F19" i="1" s="1"/>
  <c r="F4" i="1"/>
  <c r="F2" i="1"/>
  <c r="E17" i="11"/>
  <c r="E18" i="11"/>
  <c r="E10" i="11"/>
  <c r="E9" i="11"/>
  <c r="E8" i="11"/>
  <c r="E7" i="11"/>
  <c r="E6" i="11"/>
  <c r="E16" i="11"/>
  <c r="E15" i="11"/>
  <c r="E5" i="11"/>
  <c r="E2" i="11"/>
  <c r="D21" i="14"/>
  <c r="E8" i="14"/>
  <c r="E6" i="14"/>
  <c r="E7" i="14"/>
  <c r="E9" i="14"/>
  <c r="E32" i="14"/>
  <c r="E27" i="14"/>
  <c r="E21" i="14"/>
  <c r="E20" i="14"/>
  <c r="E19" i="14"/>
  <c r="E18" i="14"/>
  <c r="E22" i="14" s="1"/>
  <c r="D15" i="14"/>
  <c r="E14" i="14"/>
  <c r="E15" i="14" s="1"/>
  <c r="H15" i="14" s="1"/>
  <c r="D12" i="14"/>
  <c r="E10" i="14"/>
  <c r="E5" i="14"/>
  <c r="E11" i="14" s="1"/>
  <c r="E12" i="14"/>
  <c r="C2" i="11"/>
  <c r="D2" i="1"/>
  <c r="D4" i="1"/>
  <c r="D12" i="1"/>
  <c r="D14" i="1"/>
  <c r="C17" i="11"/>
  <c r="C18" i="11"/>
  <c r="C10" i="11"/>
  <c r="C9" i="11"/>
  <c r="C6" i="11"/>
  <c r="D17" i="13"/>
  <c r="D19" i="1" l="1"/>
  <c r="E19" i="1"/>
  <c r="K15" i="1"/>
  <c r="E34" i="15"/>
  <c r="I11" i="15"/>
  <c r="H11" i="15"/>
  <c r="H25" i="15" s="1"/>
  <c r="H30" i="15"/>
  <c r="I20" i="15"/>
  <c r="H18" i="15"/>
  <c r="E34" i="14"/>
  <c r="I11" i="14"/>
  <c r="H11" i="14"/>
  <c r="H25" i="14" s="1"/>
  <c r="H30" i="14"/>
  <c r="I20" i="14"/>
  <c r="H18" i="14"/>
  <c r="D15" i="13"/>
  <c r="D16" i="13"/>
  <c r="D14" i="13"/>
  <c r="E4" i="13"/>
  <c r="C5" i="11" s="1"/>
  <c r="E28" i="13"/>
  <c r="D28" i="1" s="1"/>
  <c r="E23" i="13"/>
  <c r="D26" i="1" s="1"/>
  <c r="E17" i="13"/>
  <c r="E16" i="13"/>
  <c r="C16" i="11" s="1"/>
  <c r="E15" i="13"/>
  <c r="E14" i="13"/>
  <c r="D11" i="13"/>
  <c r="D21" i="1" s="1"/>
  <c r="E10" i="13"/>
  <c r="E11" i="13" s="1"/>
  <c r="D8" i="13"/>
  <c r="E6" i="13"/>
  <c r="E5" i="13"/>
  <c r="E7" i="13" s="1"/>
  <c r="E8" i="13"/>
  <c r="C15" i="11" s="1"/>
  <c r="B18" i="11"/>
  <c r="B17" i="11"/>
  <c r="B16" i="11"/>
  <c r="B10" i="11"/>
  <c r="B9" i="11"/>
  <c r="B8" i="11"/>
  <c r="B7" i="11"/>
  <c r="B6" i="11"/>
  <c r="B15" i="11"/>
  <c r="B5" i="11"/>
  <c r="B2" i="11"/>
  <c r="C22" i="1"/>
  <c r="G4" i="1"/>
  <c r="D13" i="4"/>
  <c r="C4" i="1"/>
  <c r="K4" i="1" s="1"/>
  <c r="C30" i="1"/>
  <c r="C28" i="1"/>
  <c r="C26" i="1"/>
  <c r="C24" i="1"/>
  <c r="C21" i="1"/>
  <c r="G15" i="12"/>
  <c r="G13" i="12"/>
  <c r="G14" i="12"/>
  <c r="G12" i="12"/>
  <c r="C2" i="1"/>
  <c r="E26" i="12"/>
  <c r="E21" i="12"/>
  <c r="E15" i="12"/>
  <c r="E14" i="12"/>
  <c r="E13" i="12"/>
  <c r="E12" i="12"/>
  <c r="E16" i="12" s="1"/>
  <c r="D9" i="12"/>
  <c r="E8" i="12"/>
  <c r="E9" i="12" s="1"/>
  <c r="H9" i="12" s="1"/>
  <c r="D6" i="12"/>
  <c r="E6" i="12"/>
  <c r="I31" i="15" l="1"/>
  <c r="I26" i="15"/>
  <c r="H11" i="13"/>
  <c r="D22" i="1"/>
  <c r="C7" i="11"/>
  <c r="E18" i="13"/>
  <c r="C8" i="11"/>
  <c r="I31" i="14"/>
  <c r="I26" i="14"/>
  <c r="I9" i="13"/>
  <c r="H9" i="13"/>
  <c r="H21" i="13" s="1"/>
  <c r="H26" i="13"/>
  <c r="I16" i="13"/>
  <c r="H14" i="13"/>
  <c r="E28" i="12"/>
  <c r="I7" i="12"/>
  <c r="H7" i="12"/>
  <c r="H19" i="12" s="1"/>
  <c r="H24" i="12"/>
  <c r="I14" i="12"/>
  <c r="H12" i="12"/>
  <c r="F16" i="11"/>
  <c r="F8" i="11"/>
  <c r="F9" i="11"/>
  <c r="F17" i="11"/>
  <c r="F18" i="11"/>
  <c r="F10" i="11"/>
  <c r="E25" i="4"/>
  <c r="E30" i="4"/>
  <c r="E32" i="4"/>
  <c r="D19" i="4"/>
  <c r="F6" i="11"/>
  <c r="E17" i="4"/>
  <c r="E18" i="4"/>
  <c r="E19" i="4"/>
  <c r="E16" i="4"/>
  <c r="E20" i="4" s="1"/>
  <c r="E19" i="11"/>
  <c r="D19" i="11"/>
  <c r="C19" i="11"/>
  <c r="B19" i="11"/>
  <c r="E11" i="11"/>
  <c r="E22" i="11" s="1"/>
  <c r="D11" i="11"/>
  <c r="D22" i="11" s="1"/>
  <c r="C11" i="11"/>
  <c r="C22" i="11" s="1"/>
  <c r="B11" i="11"/>
  <c r="B22" i="11" s="1"/>
  <c r="H18" i="11"/>
  <c r="H17" i="11"/>
  <c r="H16" i="11"/>
  <c r="H14" i="11"/>
  <c r="H10" i="11"/>
  <c r="H9" i="11"/>
  <c r="H8" i="11"/>
  <c r="F2" i="11"/>
  <c r="E20" i="11"/>
  <c r="D20" i="11"/>
  <c r="C20" i="11"/>
  <c r="B20" i="11"/>
  <c r="G16" i="1"/>
  <c r="G8" i="1"/>
  <c r="H8" i="1" s="1"/>
  <c r="E30" i="13" l="1"/>
  <c r="D30" i="1" s="1"/>
  <c r="D24" i="1"/>
  <c r="I27" i="13"/>
  <c r="I22" i="13"/>
  <c r="I25" i="12"/>
  <c r="I20" i="12"/>
  <c r="B23" i="11"/>
  <c r="E23" i="11"/>
  <c r="D23" i="11"/>
  <c r="C23" i="11"/>
  <c r="E12" i="11"/>
  <c r="D12" i="11"/>
  <c r="C12" i="11"/>
  <c r="B12" i="11"/>
  <c r="H2" i="11"/>
  <c r="K8" i="1"/>
  <c r="I8" i="1"/>
  <c r="E4" i="4" l="1"/>
  <c r="E7" i="4"/>
  <c r="G24" i="1"/>
  <c r="G14" i="1"/>
  <c r="G7" i="1"/>
  <c r="G19" i="1" s="1"/>
  <c r="E18" i="1"/>
  <c r="G18" i="1"/>
  <c r="F18" i="1"/>
  <c r="D18" i="1"/>
  <c r="H9" i="1"/>
  <c r="I9" i="1"/>
  <c r="H11" i="1"/>
  <c r="K11" i="1"/>
  <c r="H12" i="1"/>
  <c r="H13" i="1"/>
  <c r="H14" i="1"/>
  <c r="K14" i="1"/>
  <c r="H16" i="1"/>
  <c r="I15" i="1" s="1"/>
  <c r="H7" i="1"/>
  <c r="G2" i="1"/>
  <c r="K2" i="1"/>
  <c r="G21" i="1"/>
  <c r="H21" i="1" s="1"/>
  <c r="E12" i="4"/>
  <c r="F7" i="11" s="1"/>
  <c r="H7" i="11" s="1"/>
  <c r="E13" i="4"/>
  <c r="H13" i="4" s="1"/>
  <c r="E5" i="4"/>
  <c r="E8" i="4"/>
  <c r="D10" i="4"/>
  <c r="K7" i="1"/>
  <c r="I7" i="1"/>
  <c r="G22" i="1"/>
  <c r="K16" i="1"/>
  <c r="K9" i="1"/>
  <c r="K13" i="1"/>
  <c r="I13" i="1"/>
  <c r="K12" i="1"/>
  <c r="I11" i="1"/>
  <c r="C18" i="1"/>
  <c r="H18" i="1"/>
  <c r="K18" i="1"/>
  <c r="K22" i="1"/>
  <c r="E9" i="4" l="1"/>
  <c r="F15" i="11" s="1"/>
  <c r="E6" i="4"/>
  <c r="F19" i="11"/>
  <c r="H15" i="11"/>
  <c r="F5" i="11"/>
  <c r="E10" i="4"/>
  <c r="G30" i="1"/>
  <c r="K28" i="1"/>
  <c r="K30" i="1"/>
  <c r="K24" i="1" l="1"/>
  <c r="I9" i="4"/>
  <c r="H9" i="4"/>
  <c r="F11" i="11"/>
  <c r="H5" i="11"/>
  <c r="H11" i="11" s="1"/>
  <c r="F20" i="11"/>
  <c r="H19" i="11"/>
  <c r="H20" i="11" s="1"/>
  <c r="H23" i="4" l="1"/>
  <c r="H28" i="4"/>
  <c r="H16" i="4"/>
  <c r="I29" i="4"/>
  <c r="I24" i="4"/>
  <c r="I18" i="4"/>
  <c r="H12" i="11"/>
  <c r="H22" i="11"/>
  <c r="H23" i="11" s="1"/>
  <c r="F12" i="11"/>
  <c r="F22" i="11"/>
  <c r="F23" i="11" s="1"/>
  <c r="K26" i="1"/>
</calcChain>
</file>

<file path=xl/sharedStrings.xml><?xml version="1.0" encoding="utf-8"?>
<sst xmlns="http://schemas.openxmlformats.org/spreadsheetml/2006/main" count="232" uniqueCount="74">
  <si>
    <t>VIPA</t>
  </si>
  <si>
    <t>Antwerpen</t>
  </si>
  <si>
    <t>Limburg</t>
  </si>
  <si>
    <t>Oost-Vlaanderen</t>
  </si>
  <si>
    <t>Vlaams-Brabant en Brussel</t>
  </si>
  <si>
    <t>West-Vlaanderen</t>
  </si>
  <si>
    <t>aantal</t>
  </si>
  <si>
    <t>internaat</t>
  </si>
  <si>
    <t>dagcentrum</t>
  </si>
  <si>
    <t>tehuis niet-werkenden bezigheid</t>
  </si>
  <si>
    <t>tehuis niet-werkenden nursing</t>
  </si>
  <si>
    <t>tehuis kortverblijf</t>
  </si>
  <si>
    <t>gemiddeld</t>
  </si>
  <si>
    <t>TOTAAL VIPA</t>
  </si>
  <si>
    <t>THUISBEGELEIDING GES</t>
  </si>
  <si>
    <t>BAS</t>
  </si>
  <si>
    <t>TOTAAL THUISBEGELEIDING GES</t>
  </si>
  <si>
    <t>INDIVIDUELE CONVENANTS (PTB)</t>
  </si>
  <si>
    <t>PROVINCIAAL BUDGET</t>
  </si>
  <si>
    <t>REST</t>
  </si>
  <si>
    <t>PROVINCIAAL BUDGET WEST-VLAANDEREN</t>
  </si>
  <si>
    <t>PROVINCIAAL BUDGET LIMBURG</t>
  </si>
  <si>
    <t>PROVINCIAAL BUDGET OOST-VLAANDEREN</t>
  </si>
  <si>
    <r>
      <t xml:space="preserve">vet = definitieve locatie </t>
    </r>
    <r>
      <rPr>
        <sz val="11"/>
        <color theme="1"/>
        <rFont val="Calibri"/>
        <family val="2"/>
        <scheme val="minor"/>
      </rPr>
      <t>(haakjes = specifieke doelgroepen)</t>
    </r>
  </si>
  <si>
    <t>PROVINCIAAL BUDGET ANTWERPEN</t>
  </si>
  <si>
    <t>kostprijs</t>
  </si>
  <si>
    <t>totaal</t>
  </si>
  <si>
    <t>totaalprijs</t>
  </si>
  <si>
    <t>Vlaanderen</t>
  </si>
  <si>
    <t>VIPA-BUFFER</t>
  </si>
  <si>
    <t>TOTAAL RECHTSTREEKS TOEGANKELIJKE HULPVERLENING</t>
  </si>
  <si>
    <t>kortverblijf</t>
  </si>
  <si>
    <t>RECHTSTREEKS TOEGANKELIJKE HULP</t>
  </si>
  <si>
    <t>Tordale (GES++)</t>
  </si>
  <si>
    <t>Het Anker (GES++)</t>
  </si>
  <si>
    <t>semi-internaat niet-schoolgaanden</t>
  </si>
  <si>
    <t>Centrum van de Oostkust (MED++)</t>
  </si>
  <si>
    <t>TOTAAL VIPA MINDERJARIGEN</t>
  </si>
  <si>
    <t>TOTAAL VIPA MEERDERJARIGEN</t>
  </si>
  <si>
    <t>MINDERJARIGEN</t>
  </si>
  <si>
    <t>VIPA-buffer</t>
  </si>
  <si>
    <t>Thuisbegeleiding GES</t>
  </si>
  <si>
    <t>Rechtstreeks Toegankelijke Hulp</t>
  </si>
  <si>
    <t>Individuele convenants (PTB)</t>
  </si>
  <si>
    <t>Persoonlijke-Assistentie Budget (PAB)</t>
  </si>
  <si>
    <t>TOTAAL MINDERJARIGEN</t>
  </si>
  <si>
    <t>TOTAAL MEERDERJARIGEN</t>
  </si>
  <si>
    <t>AANDEEL</t>
  </si>
  <si>
    <t>TOTAAL</t>
  </si>
  <si>
    <t>Thuisbegeleiding minderjarigen</t>
  </si>
  <si>
    <t>Punten minderjarigen</t>
  </si>
  <si>
    <t>Thuisbegeleiding meerderjarigen</t>
  </si>
  <si>
    <t>Punten meerderjarigen</t>
  </si>
  <si>
    <t>PERSOONLIJKE-ASSISTENTIEBUDGET (PAB)</t>
  </si>
  <si>
    <t>PAB minderjarigen</t>
  </si>
  <si>
    <t>PAB meerderjarigen</t>
  </si>
  <si>
    <t>TOTAAL PAB</t>
  </si>
  <si>
    <t>Convenants minderjarigen</t>
  </si>
  <si>
    <t>Convenants meerderjarigen</t>
  </si>
  <si>
    <t>TOTAAL CONVENANTS</t>
  </si>
  <si>
    <t>MEERDERJARIGEN</t>
  </si>
  <si>
    <t>IPH IJH</t>
  </si>
  <si>
    <t>Intersectoraal toe te wijzen Prioritaire Hulpvragen</t>
  </si>
  <si>
    <t>PERSOONLIJKE-ASSISTENTIEBUDGET</t>
  </si>
  <si>
    <t>VIPA: GEEN POSITIEVE ADVIEZEN</t>
  </si>
  <si>
    <t>3DE FASE JEUGDHULP</t>
  </si>
  <si>
    <t>Sint-Gerardus (MED+en GES+)</t>
  </si>
  <si>
    <t>ROG-BUDGET VLAAMS-BRABANT EN BRUSSEL</t>
  </si>
  <si>
    <t>Groenhoef</t>
  </si>
  <si>
    <t>De Okkernoot</t>
  </si>
  <si>
    <t>Brabantse Dienst</t>
  </si>
  <si>
    <t>De Sperwer</t>
  </si>
  <si>
    <t>Schoonderhage</t>
  </si>
  <si>
    <t>Avalon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</si>
</sst>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164" formatCode="#,##0_ ;\-#,##0\ "/>
    <numFmt numFmtId="165" formatCode="#,##0\ &quot;€&quot;"/>
    <numFmt numFmtId="168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9" fontId="0" fillId="0" borderId="0" xfId="0" applyNumberFormat="1"/>
    <xf numFmtId="4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Font="1"/>
    <xf numFmtId="164" fontId="1" fillId="0" borderId="0" xfId="0" applyNumberFormat="1" applyFont="1"/>
    <xf numFmtId="42" fontId="1" fillId="0" borderId="0" xfId="0" applyNumberFormat="1" applyFont="1"/>
    <xf numFmtId="1" fontId="0" fillId="0" borderId="0" xfId="0" applyNumberFormat="1" applyFill="1"/>
    <xf numFmtId="0" fontId="0" fillId="0" borderId="0" xfId="0" applyNumberFormat="1" applyFont="1"/>
    <xf numFmtId="0" fontId="0" fillId="0" borderId="0" xfId="0" applyNumberFormat="1"/>
    <xf numFmtId="0" fontId="1" fillId="0" borderId="0" xfId="0" applyFont="1" applyAlignment="1">
      <alignment vertical="top" wrapText="1"/>
    </xf>
    <xf numFmtId="42" fontId="0" fillId="0" borderId="0" xfId="0" applyNumberFormat="1" applyFont="1"/>
    <xf numFmtId="9" fontId="0" fillId="0" borderId="0" xfId="0" applyNumberFormat="1" applyFont="1"/>
    <xf numFmtId="10" fontId="0" fillId="0" borderId="0" xfId="0" applyNumberFormat="1" applyFont="1"/>
    <xf numFmtId="9" fontId="1" fillId="0" borderId="0" xfId="0" applyNumberFormat="1" applyFont="1"/>
    <xf numFmtId="0" fontId="1" fillId="0" borderId="0" xfId="0" applyNumberFormat="1" applyFont="1"/>
    <xf numFmtId="9" fontId="0" fillId="0" borderId="0" xfId="0" applyNumberFormat="1" applyFill="1"/>
    <xf numFmtId="0" fontId="1" fillId="0" borderId="0" xfId="0" applyFont="1" applyAlignment="1">
      <alignment horizontal="right"/>
    </xf>
    <xf numFmtId="42" fontId="3" fillId="0" borderId="0" xfId="0" applyNumberFormat="1" applyFont="1"/>
    <xf numFmtId="0" fontId="2" fillId="0" borderId="0" xfId="0" applyFont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65" fontId="0" fillId="0" borderId="0" xfId="0" applyNumberFormat="1"/>
    <xf numFmtId="165" fontId="0" fillId="0" borderId="0" xfId="0" applyNumberFormat="1" applyFill="1"/>
    <xf numFmtId="10" fontId="0" fillId="0" borderId="0" xfId="0" applyNumberFormat="1"/>
    <xf numFmtId="42" fontId="4" fillId="0" borderId="0" xfId="0" applyNumberFormat="1" applyFont="1"/>
    <xf numFmtId="42" fontId="0" fillId="0" borderId="0" xfId="0" applyNumberFormat="1" applyAlignment="1">
      <alignment horizontal="right"/>
    </xf>
    <xf numFmtId="168" fontId="0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right" vertical="center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10" fontId="4" fillId="0" borderId="0" xfId="0" applyNumberFormat="1" applyFont="1"/>
    <xf numFmtId="9" fontId="4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130" zoomScaleNormal="130" workbookViewId="0">
      <selection activeCell="J24" sqref="J24"/>
    </sheetView>
  </sheetViews>
  <sheetFormatPr defaultRowHeight="15" x14ac:dyDescent="0.25"/>
  <cols>
    <col min="1" max="1" width="30.85546875" customWidth="1"/>
    <col min="2" max="2" width="10.5703125" bestFit="1" customWidth="1"/>
    <col min="3" max="5" width="12.7109375" bestFit="1" customWidth="1"/>
    <col min="6" max="6" width="13.140625" customWidth="1"/>
    <col min="7" max="7" width="12.7109375" customWidth="1"/>
    <col min="8" max="8" width="4.28515625" bestFit="1" customWidth="1"/>
    <col min="9" max="9" width="3.28515625" bestFit="1" customWidth="1"/>
    <col min="10" max="10" width="9.85546875" bestFit="1" customWidth="1"/>
    <col min="11" max="11" width="13.7109375" bestFit="1" customWidth="1"/>
  </cols>
  <sheetData>
    <row r="1" spans="1:11" ht="44.25" customHeight="1" x14ac:dyDescent="0.25"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29" t="s">
        <v>6</v>
      </c>
      <c r="I1" s="29"/>
      <c r="J1" t="s">
        <v>25</v>
      </c>
      <c r="K1" s="4" t="s">
        <v>28</v>
      </c>
    </row>
    <row r="2" spans="1:11" x14ac:dyDescent="0.25">
      <c r="A2" s="4" t="s">
        <v>18</v>
      </c>
      <c r="C2" s="2">
        <f>Antwerpen!E1</f>
        <v>5128399</v>
      </c>
      <c r="D2" s="2">
        <f>Limburg!E1</f>
        <v>2013828</v>
      </c>
      <c r="E2" s="2">
        <f>'Oost-Vlaanderen'!E1</f>
        <v>3313956</v>
      </c>
      <c r="F2" s="2">
        <f>'Vlaams-Brabant en Brussel'!E1</f>
        <v>3716652</v>
      </c>
      <c r="G2" s="2">
        <f>'West-Vlaanderen'!E1</f>
        <v>2689851</v>
      </c>
      <c r="H2" s="2"/>
      <c r="I2" s="2"/>
      <c r="K2" s="2">
        <f>SUM(C2:J2)</f>
        <v>16862686</v>
      </c>
    </row>
    <row r="3" spans="1:11" x14ac:dyDescent="0.25">
      <c r="A3" s="4"/>
      <c r="C3" s="2"/>
      <c r="D3" s="2"/>
      <c r="E3" s="2"/>
      <c r="F3" s="2"/>
      <c r="G3" s="2"/>
      <c r="H3" s="2"/>
      <c r="I3" s="2"/>
      <c r="K3" s="2"/>
    </row>
    <row r="4" spans="1:11" x14ac:dyDescent="0.25">
      <c r="A4" s="4" t="s">
        <v>65</v>
      </c>
      <c r="C4" s="2">
        <f>Antwerpen!H8</f>
        <v>76032</v>
      </c>
      <c r="D4" s="2">
        <f>Limburg!H10</f>
        <v>29856</v>
      </c>
      <c r="E4" s="2">
        <f>'Oost-Vlaanderen'!H12</f>
        <v>49131</v>
      </c>
      <c r="F4" s="2">
        <f>'Vlaams-Brabant en Brussel'!H12</f>
        <v>55102</v>
      </c>
      <c r="G4" s="2">
        <f>'West-Vlaanderen'!H10</f>
        <v>39875</v>
      </c>
      <c r="H4" s="2"/>
      <c r="I4" s="2"/>
      <c r="K4" s="2">
        <f>SUM(C4:J4)</f>
        <v>249996</v>
      </c>
    </row>
    <row r="5" spans="1:11" x14ac:dyDescent="0.25">
      <c r="A5" s="4"/>
      <c r="C5" s="2"/>
      <c r="D5" s="3"/>
      <c r="E5" s="7"/>
    </row>
    <row r="6" spans="1:11" x14ac:dyDescent="0.25">
      <c r="A6" s="4" t="s">
        <v>29</v>
      </c>
    </row>
    <row r="7" spans="1:11" x14ac:dyDescent="0.25">
      <c r="A7" t="s">
        <v>7</v>
      </c>
      <c r="B7" s="1">
        <v>1</v>
      </c>
      <c r="C7" s="3"/>
      <c r="D7" s="3"/>
      <c r="E7" s="3"/>
      <c r="F7" s="3"/>
      <c r="G7" s="3">
        <f>'West-Vlaanderen'!D4</f>
        <v>2</v>
      </c>
      <c r="H7" s="3">
        <f>SUM(C7:G7)</f>
        <v>2</v>
      </c>
      <c r="I7" s="21">
        <f>H7</f>
        <v>2</v>
      </c>
      <c r="J7" s="2">
        <v>60911</v>
      </c>
      <c r="K7" s="2">
        <f>H7*J7</f>
        <v>121822</v>
      </c>
    </row>
    <row r="8" spans="1:11" x14ac:dyDescent="0.25">
      <c r="A8" s="5" t="s">
        <v>35</v>
      </c>
      <c r="B8" s="1">
        <v>1</v>
      </c>
      <c r="C8" s="3"/>
      <c r="D8" s="3"/>
      <c r="E8" s="3"/>
      <c r="F8" s="3"/>
      <c r="G8" s="3">
        <f>'West-Vlaanderen'!D5</f>
        <v>6</v>
      </c>
      <c r="H8" s="3">
        <f>SUM(C8:G8)</f>
        <v>6</v>
      </c>
      <c r="I8" s="22">
        <f>H8</f>
        <v>6</v>
      </c>
      <c r="J8" s="2">
        <v>43119</v>
      </c>
      <c r="K8" s="2">
        <f>H8*J8</f>
        <v>258714</v>
      </c>
    </row>
    <row r="9" spans="1:11" x14ac:dyDescent="0.25">
      <c r="A9" t="s">
        <v>8</v>
      </c>
      <c r="B9" s="1" t="s">
        <v>12</v>
      </c>
      <c r="C9" s="3"/>
      <c r="D9" s="3"/>
      <c r="E9" s="3"/>
      <c r="F9" s="3">
        <f>'Vlaams-Brabant en Brussel'!D5</f>
        <v>3</v>
      </c>
      <c r="G9" s="3"/>
      <c r="H9" s="3">
        <f t="shared" ref="H9:H18" si="0">SUM(C9:G9)</f>
        <v>3</v>
      </c>
      <c r="I9" s="30">
        <f>H9</f>
        <v>3</v>
      </c>
      <c r="J9" s="2">
        <v>27478</v>
      </c>
      <c r="K9" s="2">
        <f t="shared" ref="K9:K16" si="1">H9*J9</f>
        <v>82434</v>
      </c>
    </row>
    <row r="10" spans="1:11" x14ac:dyDescent="0.25">
      <c r="B10" s="1">
        <v>1</v>
      </c>
      <c r="C10" s="3"/>
      <c r="D10" s="3"/>
      <c r="E10" s="3"/>
      <c r="F10" s="3">
        <f>'Vlaams-Brabant en Brussel'!D6</f>
        <v>3</v>
      </c>
      <c r="G10" s="3"/>
      <c r="H10" s="3">
        <f t="shared" si="0"/>
        <v>3</v>
      </c>
      <c r="I10" s="30"/>
      <c r="J10" s="2">
        <v>33476</v>
      </c>
      <c r="K10" s="2">
        <f t="shared" si="1"/>
        <v>100428</v>
      </c>
    </row>
    <row r="11" spans="1:11" x14ac:dyDescent="0.25">
      <c r="A11" t="s">
        <v>9</v>
      </c>
      <c r="B11" s="1" t="s">
        <v>12</v>
      </c>
      <c r="C11" s="8"/>
      <c r="D11" s="3"/>
      <c r="E11" s="3">
        <f>'Oost-Vlaanderen'!D5</f>
        <v>3</v>
      </c>
      <c r="F11" s="3">
        <f>'Vlaams-Brabant en Brussel'!D8</f>
        <v>14</v>
      </c>
      <c r="G11" s="3"/>
      <c r="H11" s="3">
        <f t="shared" si="0"/>
        <v>17</v>
      </c>
      <c r="I11" s="30">
        <f>H11+H12</f>
        <v>24</v>
      </c>
      <c r="J11" s="2">
        <v>54138</v>
      </c>
      <c r="K11" s="2">
        <f t="shared" si="1"/>
        <v>920346</v>
      </c>
    </row>
    <row r="12" spans="1:11" x14ac:dyDescent="0.25">
      <c r="B12" s="1">
        <v>1</v>
      </c>
      <c r="C12" s="8"/>
      <c r="D12" s="3">
        <f>Limburg!D5</f>
        <v>2</v>
      </c>
      <c r="E12" s="3">
        <f>'Oost-Vlaanderen'!D6+'Oost-Vlaanderen'!D7</f>
        <v>5</v>
      </c>
      <c r="F12" s="3"/>
      <c r="G12" s="3"/>
      <c r="H12" s="3">
        <f t="shared" si="0"/>
        <v>7</v>
      </c>
      <c r="I12" s="30"/>
      <c r="J12" s="2">
        <v>60828</v>
      </c>
      <c r="K12" s="2">
        <f t="shared" si="1"/>
        <v>425796</v>
      </c>
    </row>
    <row r="13" spans="1:11" x14ac:dyDescent="0.25">
      <c r="A13" t="s">
        <v>10</v>
      </c>
      <c r="B13" s="1" t="s">
        <v>12</v>
      </c>
      <c r="C13" s="3"/>
      <c r="D13" s="3"/>
      <c r="E13" s="3">
        <f>'Oost-Vlaanderen'!D10</f>
        <v>4</v>
      </c>
      <c r="F13" s="3">
        <f>'Vlaams-Brabant en Brussel'!D9</f>
        <v>6</v>
      </c>
      <c r="G13" s="3"/>
      <c r="H13" s="3">
        <f t="shared" si="0"/>
        <v>10</v>
      </c>
      <c r="I13" s="30">
        <f>H13+H14</f>
        <v>41</v>
      </c>
      <c r="J13" s="2">
        <v>62967</v>
      </c>
      <c r="K13" s="2">
        <f t="shared" si="1"/>
        <v>629670</v>
      </c>
    </row>
    <row r="14" spans="1:11" x14ac:dyDescent="0.25">
      <c r="B14" s="1">
        <v>1</v>
      </c>
      <c r="C14" s="3"/>
      <c r="D14" s="3">
        <f>Limburg!D6</f>
        <v>8</v>
      </c>
      <c r="E14" s="3">
        <f>'Oost-Vlaanderen'!D9+'Oost-Vlaanderen'!D8</f>
        <v>7</v>
      </c>
      <c r="F14" s="3">
        <f>'Vlaams-Brabant en Brussel'!D10</f>
        <v>10</v>
      </c>
      <c r="G14" s="3">
        <f>'West-Vlaanderen'!D8</f>
        <v>6</v>
      </c>
      <c r="H14" s="3">
        <f t="shared" si="0"/>
        <v>31</v>
      </c>
      <c r="I14" s="30"/>
      <c r="J14" s="2">
        <v>70749</v>
      </c>
      <c r="K14" s="2">
        <f t="shared" si="1"/>
        <v>2193219</v>
      </c>
    </row>
    <row r="15" spans="1:11" x14ac:dyDescent="0.25">
      <c r="A15" t="s">
        <v>11</v>
      </c>
      <c r="B15" s="1" t="s">
        <v>12</v>
      </c>
      <c r="C15" s="3"/>
      <c r="D15" s="3"/>
      <c r="E15" s="3"/>
      <c r="F15" s="3">
        <f>'Vlaams-Brabant en Brussel'!D7</f>
        <v>1</v>
      </c>
      <c r="G15" s="3"/>
      <c r="H15" s="3">
        <f t="shared" si="0"/>
        <v>1</v>
      </c>
      <c r="I15" s="30">
        <f>H15+H16</f>
        <v>5</v>
      </c>
      <c r="J15" s="2">
        <v>51364</v>
      </c>
      <c r="K15" s="2">
        <f t="shared" si="1"/>
        <v>51364</v>
      </c>
    </row>
    <row r="16" spans="1:11" x14ac:dyDescent="0.25">
      <c r="B16" s="1">
        <v>1</v>
      </c>
      <c r="C16" s="3"/>
      <c r="D16" s="3"/>
      <c r="E16" s="3"/>
      <c r="F16" s="3"/>
      <c r="G16" s="3">
        <f>'West-Vlaanderen'!D7</f>
        <v>4</v>
      </c>
      <c r="H16" s="3">
        <f t="shared" si="0"/>
        <v>4</v>
      </c>
      <c r="I16" s="30"/>
      <c r="J16" s="2">
        <v>66989</v>
      </c>
      <c r="K16" s="2">
        <f t="shared" si="1"/>
        <v>267956</v>
      </c>
    </row>
    <row r="17" spans="1:12" x14ac:dyDescent="0.25">
      <c r="B17" s="1"/>
      <c r="C17" s="3"/>
      <c r="D17" s="3"/>
      <c r="E17" s="3"/>
      <c r="F17" s="3"/>
      <c r="G17" s="3"/>
      <c r="H17" s="3"/>
      <c r="I17" s="22"/>
      <c r="J17" s="2"/>
      <c r="K17" s="2"/>
    </row>
    <row r="18" spans="1:12" x14ac:dyDescent="0.25">
      <c r="B18" s="1" t="s">
        <v>26</v>
      </c>
      <c r="C18" s="3">
        <f>SUM(C7:C16)</f>
        <v>0</v>
      </c>
      <c r="D18" s="3">
        <f>SUM(D7:D16)</f>
        <v>10</v>
      </c>
      <c r="E18" s="3">
        <f>SUM(E7:E16)</f>
        <v>19</v>
      </c>
      <c r="F18" s="3">
        <f>SUM(F7:F16)</f>
        <v>37</v>
      </c>
      <c r="G18" s="3">
        <f>SUM(G7:G16)</f>
        <v>18</v>
      </c>
      <c r="H18" s="3">
        <f t="shared" si="0"/>
        <v>84</v>
      </c>
      <c r="I18" s="3"/>
      <c r="K18" s="7">
        <f>SUM(K7:K16)</f>
        <v>5051749</v>
      </c>
    </row>
    <row r="19" spans="1:12" x14ac:dyDescent="0.25">
      <c r="B19" s="1" t="s">
        <v>27</v>
      </c>
      <c r="C19" s="2">
        <f t="shared" ref="C19:F19" si="2">C7*$J7+C8*$J8+C9*$J9+C10*$J10+C11*$J11+C12*$J12+C13*$J13+C14*$J14+C15*$J15+C16*$J16</f>
        <v>0</v>
      </c>
      <c r="D19" s="2">
        <f t="shared" si="2"/>
        <v>687648</v>
      </c>
      <c r="E19" s="2">
        <f t="shared" si="2"/>
        <v>1213665</v>
      </c>
      <c r="F19" s="2">
        <f t="shared" si="2"/>
        <v>2077450</v>
      </c>
      <c r="G19" s="2">
        <f>G7*$J7+G8*$J8+G9*$J9+G10*$J10+G11*$J11+G12*$J12+G13*$J13+G14*$J14+G15*$J15+G16*$J16</f>
        <v>1072986</v>
      </c>
      <c r="K19" s="2"/>
    </row>
    <row r="20" spans="1:12" x14ac:dyDescent="0.25">
      <c r="B20" s="1"/>
      <c r="C20" s="2"/>
      <c r="D20" s="2"/>
      <c r="E20" s="2"/>
      <c r="F20" s="2"/>
      <c r="G20" s="2"/>
      <c r="K20" s="2"/>
    </row>
    <row r="21" spans="1:12" x14ac:dyDescent="0.25">
      <c r="A21" s="4" t="s">
        <v>14</v>
      </c>
      <c r="B21" s="1" t="s">
        <v>6</v>
      </c>
      <c r="C21" s="10">
        <f>Antwerpen!D9</f>
        <v>0</v>
      </c>
      <c r="D21" s="31">
        <f>Limburg!D11</f>
        <v>0</v>
      </c>
      <c r="E21" s="10">
        <f>'Oost-Vlaanderen'!D15</f>
        <v>0</v>
      </c>
      <c r="F21" s="3">
        <f>'Vlaams-Brabant en Brussel'!D14</f>
        <v>476</v>
      </c>
      <c r="G21" s="10">
        <f>'West-Vlaanderen'!D13</f>
        <v>250</v>
      </c>
      <c r="H21" s="3">
        <f>SUM(C21:G21)</f>
        <v>726</v>
      </c>
      <c r="I21" s="3"/>
      <c r="J21" s="2">
        <v>229.22</v>
      </c>
      <c r="K21" s="16"/>
    </row>
    <row r="22" spans="1:12" x14ac:dyDescent="0.25">
      <c r="A22" s="4"/>
      <c r="B22" s="1" t="s">
        <v>27</v>
      </c>
      <c r="C22" s="2">
        <f>Antwerpen!E9</f>
        <v>0</v>
      </c>
      <c r="D22" s="2">
        <f>Limburg!E11</f>
        <v>0</v>
      </c>
      <c r="E22" s="2">
        <f>'Oost-Vlaanderen'!E15</f>
        <v>0</v>
      </c>
      <c r="F22" s="2">
        <f>'Vlaams-Brabant en Brussel'!E15</f>
        <v>109108.72</v>
      </c>
      <c r="G22" s="2">
        <f>'West-Vlaanderen'!E13</f>
        <v>57305</v>
      </c>
      <c r="K22" s="7">
        <f>SUM(C22:J22)</f>
        <v>166413.72</v>
      </c>
    </row>
    <row r="23" spans="1:12" x14ac:dyDescent="0.25">
      <c r="B23" s="1"/>
      <c r="C23" s="2"/>
      <c r="D23" s="2"/>
      <c r="E23" s="2"/>
      <c r="F23" s="2"/>
      <c r="G23" s="2"/>
      <c r="K23" s="7"/>
    </row>
    <row r="24" spans="1:12" x14ac:dyDescent="0.25">
      <c r="A24" s="4" t="s">
        <v>32</v>
      </c>
      <c r="C24" s="2">
        <f>Antwerpen!E16</f>
        <v>1010887.19</v>
      </c>
      <c r="D24" s="2">
        <f>Limburg!E18</f>
        <v>259292.8223</v>
      </c>
      <c r="E24" s="2">
        <f>'Oost-Vlaanderen'!E22</f>
        <v>410539.43999999994</v>
      </c>
      <c r="F24" s="2">
        <f>'Vlaams-Brabant en Brussel'!E22</f>
        <v>262262.26049999992</v>
      </c>
      <c r="G24" s="2">
        <f>'West-Vlaanderen'!E20</f>
        <v>286632.81209999998</v>
      </c>
      <c r="K24" s="7">
        <f t="shared" ref="K24:K30" si="3">SUM(C24:J24)</f>
        <v>2229614.5248999996</v>
      </c>
    </row>
    <row r="25" spans="1:12" x14ac:dyDescent="0.25">
      <c r="A25" s="5"/>
      <c r="C25" s="2"/>
      <c r="D25" s="2"/>
      <c r="E25" s="2"/>
      <c r="F25" s="2"/>
      <c r="G25" s="2"/>
      <c r="H25" s="3"/>
      <c r="J25" s="2"/>
      <c r="K25" s="7"/>
    </row>
    <row r="26" spans="1:12" x14ac:dyDescent="0.25">
      <c r="A26" s="4" t="s">
        <v>63</v>
      </c>
      <c r="B26" s="1"/>
      <c r="C26" s="2">
        <f>Antwerpen!E21</f>
        <v>2020947</v>
      </c>
      <c r="D26" s="2">
        <f>Limburg!E23</f>
        <v>518529</v>
      </c>
      <c r="E26" s="2">
        <f>'Oost-Vlaanderen'!E27</f>
        <v>820463</v>
      </c>
      <c r="F26" s="2">
        <f>'Vlaams-Brabant en Brussel'!E27</f>
        <v>606367</v>
      </c>
      <c r="G26" s="2">
        <f>'West-Vlaanderen'!E25</f>
        <v>630796</v>
      </c>
      <c r="H26" s="8"/>
      <c r="J26" s="2"/>
      <c r="K26" s="7">
        <f t="shared" si="3"/>
        <v>4597102</v>
      </c>
      <c r="L26" s="3"/>
    </row>
    <row r="27" spans="1:12" x14ac:dyDescent="0.25">
      <c r="C27" s="2"/>
      <c r="D27" s="2"/>
      <c r="E27" s="2"/>
      <c r="F27" s="2"/>
      <c r="G27" s="2"/>
      <c r="K27" s="7"/>
    </row>
    <row r="28" spans="1:12" x14ac:dyDescent="0.25">
      <c r="A28" s="4" t="s">
        <v>17</v>
      </c>
      <c r="C28" s="2">
        <f>Antwerpen!E26</f>
        <v>2020947</v>
      </c>
      <c r="D28" s="2">
        <f>Limburg!E28</f>
        <v>518529</v>
      </c>
      <c r="E28" s="2">
        <f>'Oost-Vlaanderen'!E32</f>
        <v>820463</v>
      </c>
      <c r="F28" s="2">
        <f>'Vlaams-Brabant en Brussel'!E32</f>
        <v>606367</v>
      </c>
      <c r="G28" s="2">
        <f>'West-Vlaanderen'!E30</f>
        <v>602144</v>
      </c>
      <c r="K28" s="7">
        <f>SUM(C28:J28)</f>
        <v>4568450</v>
      </c>
      <c r="L28" s="3"/>
    </row>
    <row r="29" spans="1:12" x14ac:dyDescent="0.25">
      <c r="C29" s="2"/>
      <c r="D29" s="2"/>
      <c r="E29" s="2"/>
      <c r="F29" s="2"/>
      <c r="G29" s="2"/>
      <c r="H29" s="3"/>
      <c r="I29" s="3"/>
      <c r="J29" s="3"/>
      <c r="K29" s="7"/>
      <c r="L29" s="3"/>
    </row>
    <row r="30" spans="1:12" x14ac:dyDescent="0.25">
      <c r="A30" t="s">
        <v>19</v>
      </c>
      <c r="B30" s="1"/>
      <c r="C30" s="2">
        <f>Antwerpen!E28</f>
        <v>-414.18999999994412</v>
      </c>
      <c r="D30" s="2">
        <f>Limburg!E30</f>
        <v>-26.822299999999814</v>
      </c>
      <c r="E30" s="2">
        <f>'Oost-Vlaanderen'!E34</f>
        <v>-305.43999999994412</v>
      </c>
      <c r="F30" s="2">
        <f>'Vlaams-Brabant en Brussel'!E34</f>
        <v>-4.9804999998304993</v>
      </c>
      <c r="G30" s="2">
        <f>'West-Vlaanderen'!E32</f>
        <v>112.187900000019</v>
      </c>
      <c r="K30" s="7">
        <f t="shared" si="3"/>
        <v>-639.24489999969956</v>
      </c>
    </row>
    <row r="31" spans="1:12" x14ac:dyDescent="0.25">
      <c r="B31" s="1"/>
    </row>
    <row r="32" spans="1:12" x14ac:dyDescent="0.25">
      <c r="A32" s="4"/>
      <c r="B32" s="1"/>
      <c r="C32" s="2"/>
      <c r="D32" s="2"/>
      <c r="E32" s="2"/>
      <c r="F32" s="2"/>
      <c r="G32" s="2"/>
      <c r="K32" s="7"/>
    </row>
    <row r="33" spans="2:11" x14ac:dyDescent="0.25">
      <c r="B33" s="1"/>
      <c r="K33" s="18"/>
    </row>
    <row r="34" spans="2:11" x14ac:dyDescent="0.25">
      <c r="B34" s="1"/>
      <c r="K34" s="2"/>
    </row>
    <row r="35" spans="2:11" x14ac:dyDescent="0.25">
      <c r="B35" s="1"/>
    </row>
    <row r="36" spans="2:11" x14ac:dyDescent="0.25">
      <c r="B36" s="1"/>
    </row>
    <row r="37" spans="2:11" x14ac:dyDescent="0.25">
      <c r="B37" s="1"/>
    </row>
    <row r="38" spans="2:11" x14ac:dyDescent="0.25">
      <c r="B38" s="1"/>
    </row>
    <row r="39" spans="2:11" x14ac:dyDescent="0.25">
      <c r="B39" s="1"/>
    </row>
    <row r="40" spans="2:11" x14ac:dyDescent="0.25">
      <c r="B40" s="1"/>
    </row>
    <row r="41" spans="2:11" x14ac:dyDescent="0.25">
      <c r="B41" s="1"/>
    </row>
  </sheetData>
  <mergeCells count="5">
    <mergeCell ref="H1:I1"/>
    <mergeCell ref="I11:I12"/>
    <mergeCell ref="I13:I14"/>
    <mergeCell ref="I9:I10"/>
    <mergeCell ref="I15:I16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&amp;LPERSPECTIEF 2020 - MEERJARENPLAN 2012-2014&amp;C&amp;A&amp;RUITBREIDINGSBELEID 2014</oddHeader>
    <oddFooter>&amp;LVAPH - cel zorgregie&amp;C&amp;A&amp;R&amp;F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130" zoomScaleNormal="130" workbookViewId="0"/>
  </sheetViews>
  <sheetFormatPr defaultRowHeight="15" x14ac:dyDescent="0.25"/>
  <cols>
    <col min="1" max="1" width="46.5703125" bestFit="1" customWidth="1"/>
    <col min="2" max="4" width="12.7109375" bestFit="1" customWidth="1"/>
    <col min="5" max="5" width="15.140625" bestFit="1" customWidth="1"/>
    <col min="6" max="6" width="12.7109375" customWidth="1"/>
    <col min="7" max="7" width="3.7109375" customWidth="1"/>
    <col min="8" max="8" width="13.7109375" bestFit="1" customWidth="1"/>
  </cols>
  <sheetData>
    <row r="1" spans="1:8" ht="44.25" customHeight="1" x14ac:dyDescent="0.25"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H1" s="4" t="s">
        <v>28</v>
      </c>
    </row>
    <row r="2" spans="1:8" x14ac:dyDescent="0.25">
      <c r="A2" s="4" t="s">
        <v>18</v>
      </c>
      <c r="B2" s="2">
        <f>Antwerpen!E1</f>
        <v>5128399</v>
      </c>
      <c r="C2" s="2">
        <f>Limburg!E1</f>
        <v>2013828</v>
      </c>
      <c r="D2" s="2">
        <f>'Oost-Vlaanderen'!E1</f>
        <v>3313956</v>
      </c>
      <c r="E2" s="2">
        <f>'Vlaams-Brabant en Brussel'!E1</f>
        <v>3716652</v>
      </c>
      <c r="F2" s="2">
        <f>'West-Vlaanderen'!E1</f>
        <v>2689851</v>
      </c>
      <c r="H2" s="2">
        <f>SUM(B2:G2)</f>
        <v>16862686</v>
      </c>
    </row>
    <row r="3" spans="1:8" x14ac:dyDescent="0.25">
      <c r="A3" s="4"/>
      <c r="B3" s="2"/>
      <c r="C3" s="3"/>
      <c r="D3" s="7"/>
    </row>
    <row r="4" spans="1:8" x14ac:dyDescent="0.25">
      <c r="A4" s="4" t="s">
        <v>39</v>
      </c>
    </row>
    <row r="5" spans="1:8" x14ac:dyDescent="0.25">
      <c r="A5" t="s">
        <v>40</v>
      </c>
      <c r="B5" s="23">
        <f>Antwerpen!E4</f>
        <v>0</v>
      </c>
      <c r="C5" s="23">
        <f>Limburg!E4</f>
        <v>0</v>
      </c>
      <c r="D5" s="23">
        <f>'Oost-Vlaanderen'!E4</f>
        <v>0</v>
      </c>
      <c r="E5" s="23">
        <f>'Vlaams-Brabant en Brussel'!E4</f>
        <v>0</v>
      </c>
      <c r="F5" s="23">
        <f>'West-Vlaanderen'!E6</f>
        <v>380536</v>
      </c>
      <c r="G5" s="2"/>
      <c r="H5" s="2">
        <f>SUM(B5:F5)</f>
        <v>380536</v>
      </c>
    </row>
    <row r="6" spans="1:8" x14ac:dyDescent="0.25">
      <c r="A6" s="5" t="s">
        <v>62</v>
      </c>
      <c r="B6" s="23">
        <f>Antwerpen!H8</f>
        <v>76032</v>
      </c>
      <c r="C6" s="23">
        <f>Limburg!H10</f>
        <v>29856</v>
      </c>
      <c r="D6" s="23">
        <f>'Oost-Vlaanderen'!H12</f>
        <v>49131</v>
      </c>
      <c r="E6" s="23">
        <f>'Vlaams-Brabant en Brussel'!H12</f>
        <v>55102</v>
      </c>
      <c r="F6" s="23">
        <f>'West-Vlaanderen'!H10</f>
        <v>39875</v>
      </c>
      <c r="G6" s="2"/>
      <c r="H6" s="2"/>
    </row>
    <row r="7" spans="1:8" x14ac:dyDescent="0.25">
      <c r="A7" s="5" t="s">
        <v>41</v>
      </c>
      <c r="B7" s="23">
        <f>Antwerpen!E9</f>
        <v>0</v>
      </c>
      <c r="C7" s="23">
        <f>Limburg!E11</f>
        <v>0</v>
      </c>
      <c r="D7" s="23">
        <f>'Oost-Vlaanderen'!E15</f>
        <v>0</v>
      </c>
      <c r="E7" s="23">
        <f>'Vlaams-Brabant en Brussel'!E15</f>
        <v>109108.72</v>
      </c>
      <c r="F7" s="23">
        <f>'West-Vlaanderen'!E12</f>
        <v>57305</v>
      </c>
      <c r="G7" s="2"/>
      <c r="H7" s="2">
        <f>SUM(B7:F7)</f>
        <v>166413.72</v>
      </c>
    </row>
    <row r="8" spans="1:8" x14ac:dyDescent="0.25">
      <c r="A8" s="5" t="s">
        <v>42</v>
      </c>
      <c r="B8" s="23">
        <f>Antwerpen!E12+Antwerpen!E13</f>
        <v>190118.63</v>
      </c>
      <c r="C8" s="23">
        <f>Limburg!E14+Limburg!E15</f>
        <v>47108.678799999994</v>
      </c>
      <c r="D8" s="23">
        <f>'Oost-Vlaanderen'!E18</f>
        <v>74267.28</v>
      </c>
      <c r="E8" s="23">
        <f>'Vlaams-Brabant en Brussel'!E18+'Vlaams-Brabant en Brussel'!E19</f>
        <v>0</v>
      </c>
      <c r="F8" s="23">
        <f>'West-Vlaanderen'!E16+'West-Vlaanderen'!E17</f>
        <v>27991.4133</v>
      </c>
      <c r="G8" s="2"/>
      <c r="H8" s="2">
        <f>SUM(B8:F8)</f>
        <v>339486.00210000004</v>
      </c>
    </row>
    <row r="9" spans="1:8" x14ac:dyDescent="0.25">
      <c r="A9" s="5" t="s">
        <v>43</v>
      </c>
      <c r="B9" s="24">
        <f>Antwerpen!E24</f>
        <v>379859</v>
      </c>
      <c r="C9" s="23">
        <f>Limburg!E26</f>
        <v>94152</v>
      </c>
      <c r="D9" s="23">
        <f>'Oost-Vlaanderen'!E30</f>
        <v>148371</v>
      </c>
      <c r="E9" s="23">
        <f>'Vlaams-Brabant en Brussel'!E30</f>
        <v>81822</v>
      </c>
      <c r="F9" s="23">
        <f>'West-Vlaanderen'!E28</f>
        <v>84747</v>
      </c>
      <c r="G9" s="2"/>
      <c r="H9" s="2">
        <f>SUM(B9:F9)</f>
        <v>788951</v>
      </c>
    </row>
    <row r="10" spans="1:8" x14ac:dyDescent="0.25">
      <c r="A10" s="5" t="s">
        <v>44</v>
      </c>
      <c r="B10" s="24">
        <f>Antwerpen!E19</f>
        <v>379859</v>
      </c>
      <c r="C10" s="23">
        <f>Limburg!E21</f>
        <v>94152</v>
      </c>
      <c r="D10" s="23">
        <f>'Oost-Vlaanderen'!E25</f>
        <v>148371</v>
      </c>
      <c r="E10" s="23">
        <f>'Vlaams-Brabant en Brussel'!E25</f>
        <v>81822</v>
      </c>
      <c r="F10" s="23">
        <f>'West-Vlaanderen'!E23</f>
        <v>113399</v>
      </c>
      <c r="G10" s="2"/>
      <c r="H10" s="2">
        <f>SUM(B10:F10)</f>
        <v>817603</v>
      </c>
    </row>
    <row r="11" spans="1:8" x14ac:dyDescent="0.25">
      <c r="A11" s="5" t="s">
        <v>45</v>
      </c>
      <c r="B11" s="24">
        <f>SUM(B5:B10)</f>
        <v>1025868.63</v>
      </c>
      <c r="C11" s="24">
        <f>SUM(C5:C10)</f>
        <v>265268.67879999999</v>
      </c>
      <c r="D11" s="24">
        <f>SUM(D5:D10)</f>
        <v>420140.28</v>
      </c>
      <c r="E11" s="24">
        <f>SUM(E5:E10)</f>
        <v>327854.71999999997</v>
      </c>
      <c r="F11" s="24">
        <f>SUM(F5:F10)</f>
        <v>703853.41330000001</v>
      </c>
      <c r="G11" s="2"/>
      <c r="H11" s="24">
        <f>SUM(H5:H10)</f>
        <v>2492989.7220999999</v>
      </c>
    </row>
    <row r="12" spans="1:8" x14ac:dyDescent="0.25">
      <c r="A12" s="5" t="s">
        <v>47</v>
      </c>
      <c r="B12" s="25">
        <f t="shared" ref="B12:E12" si="0">B11/B2</f>
        <v>0.20003682045800258</v>
      </c>
      <c r="C12" s="25">
        <f t="shared" si="0"/>
        <v>0.13172360241291708</v>
      </c>
      <c r="D12" s="25">
        <f t="shared" si="0"/>
        <v>0.12677907612533179</v>
      </c>
      <c r="E12" s="25">
        <f t="shared" si="0"/>
        <v>8.8212380389662517E-2</v>
      </c>
      <c r="F12" s="25">
        <f>F11/F2</f>
        <v>0.26167003796864585</v>
      </c>
      <c r="G12" s="2"/>
      <c r="H12" s="25">
        <f>H11/H2</f>
        <v>0.14784060630079929</v>
      </c>
    </row>
    <row r="13" spans="1:8" x14ac:dyDescent="0.25">
      <c r="B13" s="3"/>
      <c r="C13" s="3"/>
      <c r="D13" s="3"/>
      <c r="E13" s="3"/>
      <c r="F13" s="3"/>
      <c r="G13" s="2"/>
      <c r="H13" s="2"/>
    </row>
    <row r="14" spans="1:8" x14ac:dyDescent="0.25">
      <c r="A14" s="4" t="s">
        <v>39</v>
      </c>
      <c r="B14" s="3"/>
      <c r="C14" s="3"/>
      <c r="D14" s="3"/>
      <c r="E14" s="3"/>
      <c r="F14" s="3"/>
      <c r="G14" s="2"/>
      <c r="H14" s="2">
        <f t="shared" ref="H14:H19" si="1">SUM(B14:F14)</f>
        <v>0</v>
      </c>
    </row>
    <row r="15" spans="1:8" x14ac:dyDescent="0.25">
      <c r="A15" t="s">
        <v>40</v>
      </c>
      <c r="B15" s="23">
        <f>Antwerpen!E5</f>
        <v>0</v>
      </c>
      <c r="C15" s="23">
        <f>Limburg!E8</f>
        <v>687648</v>
      </c>
      <c r="D15" s="23">
        <f>'Oost-Vlaanderen'!E11</f>
        <v>1213665</v>
      </c>
      <c r="E15" s="23">
        <f>'Vlaams-Brabant en Brussel'!E11</f>
        <v>2077450</v>
      </c>
      <c r="F15" s="23">
        <f>'West-Vlaanderen'!E9</f>
        <v>692450</v>
      </c>
      <c r="G15" s="2"/>
      <c r="H15" s="2">
        <f t="shared" si="1"/>
        <v>4671213</v>
      </c>
    </row>
    <row r="16" spans="1:8" x14ac:dyDescent="0.25">
      <c r="A16" s="5" t="s">
        <v>42</v>
      </c>
      <c r="B16" s="23">
        <f>Antwerpen!E14+Antwerpen!E15</f>
        <v>820768.55999999994</v>
      </c>
      <c r="C16" s="23">
        <f>Limburg!E16+Limburg!E17</f>
        <v>212184.14350000001</v>
      </c>
      <c r="D16" s="23">
        <f>'Oost-Vlaanderen'!E21</f>
        <v>336272.16</v>
      </c>
      <c r="E16" s="23">
        <f>'Vlaams-Brabant en Brussel'!E20+'Vlaams-Brabant en Brussel'!E21</f>
        <v>262262.26049999992</v>
      </c>
      <c r="F16" s="23">
        <f>'West-Vlaanderen'!E18+'West-Vlaanderen'!E19</f>
        <v>258641.39880000002</v>
      </c>
      <c r="H16" s="2">
        <f t="shared" si="1"/>
        <v>1890128.5227999999</v>
      </c>
    </row>
    <row r="17" spans="1:8" x14ac:dyDescent="0.25">
      <c r="A17" s="5" t="s">
        <v>43</v>
      </c>
      <c r="B17" s="23">
        <f>Antwerpen!E25</f>
        <v>1641088</v>
      </c>
      <c r="C17" s="23">
        <f>Limburg!E27</f>
        <v>424377</v>
      </c>
      <c r="D17" s="23">
        <f>'Oost-Vlaanderen'!E31</f>
        <v>672092</v>
      </c>
      <c r="E17" s="23">
        <f>'Vlaams-Brabant en Brussel'!E31</f>
        <v>524545</v>
      </c>
      <c r="F17" s="23">
        <f>'West-Vlaanderen'!E29</f>
        <v>517397</v>
      </c>
      <c r="H17" s="2">
        <f t="shared" si="1"/>
        <v>3779499</v>
      </c>
    </row>
    <row r="18" spans="1:8" x14ac:dyDescent="0.25">
      <c r="A18" s="5" t="s">
        <v>44</v>
      </c>
      <c r="B18" s="23">
        <f>Antwerpen!E20</f>
        <v>1641088</v>
      </c>
      <c r="C18" s="23">
        <f>Limburg!E22</f>
        <v>424377</v>
      </c>
      <c r="D18" s="23">
        <f>'Oost-Vlaanderen'!E26</f>
        <v>672092</v>
      </c>
      <c r="E18" s="23">
        <f>'Vlaams-Brabant en Brussel'!E26</f>
        <v>524545</v>
      </c>
      <c r="F18" s="23">
        <f>'West-Vlaanderen'!E24</f>
        <v>517397</v>
      </c>
      <c r="H18" s="2">
        <f t="shared" si="1"/>
        <v>3779499</v>
      </c>
    </row>
    <row r="19" spans="1:8" x14ac:dyDescent="0.25">
      <c r="A19" s="5" t="s">
        <v>46</v>
      </c>
      <c r="B19" s="23">
        <f>SUM(B15:B18)</f>
        <v>4102944.56</v>
      </c>
      <c r="C19" s="23">
        <f>SUM(C15:C18)</f>
        <v>1748586.1435</v>
      </c>
      <c r="D19" s="23">
        <f>SUM(D15:D18)</f>
        <v>2894121.16</v>
      </c>
      <c r="E19" s="23">
        <f>SUM(E15:E18)</f>
        <v>3388802.2604999999</v>
      </c>
      <c r="F19" s="23">
        <f>SUM(F15:F18)</f>
        <v>1985885.3988000001</v>
      </c>
      <c r="G19" s="2"/>
      <c r="H19" s="2">
        <f t="shared" si="1"/>
        <v>14120339.522799999</v>
      </c>
    </row>
    <row r="20" spans="1:8" x14ac:dyDescent="0.25">
      <c r="A20" s="5" t="s">
        <v>47</v>
      </c>
      <c r="B20" s="25">
        <f t="shared" ref="B20:E20" si="2">B19/B2</f>
        <v>0.80004394353871455</v>
      </c>
      <c r="C20" s="25">
        <f t="shared" si="2"/>
        <v>0.86828971664908816</v>
      </c>
      <c r="D20" s="25">
        <f t="shared" si="2"/>
        <v>0.87331309166446391</v>
      </c>
      <c r="E20" s="25">
        <f t="shared" si="2"/>
        <v>0.91178895966046858</v>
      </c>
      <c r="F20" s="25">
        <f>F19/F2</f>
        <v>0.73828825418210897</v>
      </c>
      <c r="H20" s="25">
        <f>H19/H2</f>
        <v>0.83737190639735559</v>
      </c>
    </row>
    <row r="21" spans="1:8" x14ac:dyDescent="0.25">
      <c r="B21" s="2"/>
      <c r="C21" s="2"/>
      <c r="D21" s="2"/>
      <c r="E21" s="2"/>
      <c r="F21" s="2"/>
      <c r="H21" s="7"/>
    </row>
    <row r="22" spans="1:8" x14ac:dyDescent="0.25">
      <c r="A22" s="4" t="s">
        <v>48</v>
      </c>
      <c r="B22" s="23">
        <f>B11+B19</f>
        <v>5128813.1900000004</v>
      </c>
      <c r="C22" s="23">
        <f t="shared" ref="C22:F22" si="3">C11+C19</f>
        <v>2013854.8223000001</v>
      </c>
      <c r="D22" s="23">
        <f t="shared" si="3"/>
        <v>3314261.4400000004</v>
      </c>
      <c r="E22" s="23">
        <f t="shared" si="3"/>
        <v>3716656.9804999996</v>
      </c>
      <c r="F22" s="23">
        <f t="shared" si="3"/>
        <v>2689738.8121000002</v>
      </c>
      <c r="H22" s="23">
        <f t="shared" ref="H22" si="4">H11+H19</f>
        <v>16613329.244899999</v>
      </c>
    </row>
    <row r="23" spans="1:8" x14ac:dyDescent="0.25">
      <c r="A23" t="s">
        <v>19</v>
      </c>
      <c r="B23" s="2">
        <f>B2-B22</f>
        <v>-414.19000000040978</v>
      </c>
      <c r="C23" s="2">
        <f t="shared" ref="C23:H23" si="5">C2-C22</f>
        <v>-26.822300000116229</v>
      </c>
      <c r="D23" s="2">
        <f t="shared" si="5"/>
        <v>-305.44000000040978</v>
      </c>
      <c r="E23" s="2">
        <f t="shared" si="5"/>
        <v>-4.9804999995976686</v>
      </c>
      <c r="F23" s="2">
        <f t="shared" si="5"/>
        <v>112.18789999978617</v>
      </c>
      <c r="H23" s="2">
        <f t="shared" si="5"/>
        <v>249356.75510000065</v>
      </c>
    </row>
    <row r="24" spans="1:8" x14ac:dyDescent="0.25">
      <c r="A24" s="4"/>
      <c r="B24" s="2"/>
      <c r="C24" s="2"/>
      <c r="D24" s="2"/>
      <c r="E24" s="2"/>
      <c r="F24" s="2"/>
      <c r="H24" s="7"/>
    </row>
    <row r="25" spans="1:8" x14ac:dyDescent="0.25">
      <c r="H25" s="18"/>
    </row>
    <row r="26" spans="1:8" x14ac:dyDescent="0.25">
      <c r="H26" s="2"/>
    </row>
    <row r="31" spans="1:8" ht="8.25" customHeight="1" x14ac:dyDescent="0.25"/>
  </sheetData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&amp;LPERSPECTIEF 2020 - MEERJARENPLAN 2012-2014&amp;C&amp;A&amp;RUITBREIDINGSBELEID 2014</oddHeader>
    <oddFooter>&amp;LVAPH - cel zorgregie&amp;C&amp;A&amp;R&amp;F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130" zoomScaleNormal="130"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9.85546875" style="2" bestFit="1" customWidth="1"/>
    <col min="5" max="5" width="12.5703125" customWidth="1"/>
    <col min="6" max="6" width="2.7109375" customWidth="1"/>
    <col min="7" max="7" width="20.85546875" customWidth="1"/>
    <col min="8" max="8" width="15.7109375" bestFit="1" customWidth="1"/>
    <col min="9" max="9" width="16.85546875" bestFit="1" customWidth="1"/>
    <col min="10" max="10" width="6" bestFit="1" customWidth="1"/>
    <col min="11" max="11" width="5" bestFit="1" customWidth="1"/>
    <col min="12" max="12" width="7" bestFit="1" customWidth="1"/>
  </cols>
  <sheetData>
    <row r="1" spans="1:9" x14ac:dyDescent="0.25">
      <c r="A1" s="4" t="s">
        <v>24</v>
      </c>
      <c r="D1" s="3"/>
      <c r="E1" s="7">
        <v>5128399</v>
      </c>
      <c r="F1" s="7"/>
    </row>
    <row r="2" spans="1:9" x14ac:dyDescent="0.25">
      <c r="A2" s="4"/>
      <c r="D2" s="3"/>
      <c r="E2" s="7"/>
      <c r="F2" s="7"/>
    </row>
    <row r="3" spans="1:9" x14ac:dyDescent="0.25">
      <c r="A3" s="4" t="s">
        <v>64</v>
      </c>
      <c r="B3" s="1"/>
      <c r="C3" s="10" t="s">
        <v>25</v>
      </c>
      <c r="D3" s="3" t="s">
        <v>6</v>
      </c>
      <c r="E3" s="4" t="s">
        <v>23</v>
      </c>
    </row>
    <row r="4" spans="1:9" x14ac:dyDescent="0.25">
      <c r="A4" s="5" t="s">
        <v>37</v>
      </c>
      <c r="B4" s="17"/>
      <c r="D4" s="3"/>
      <c r="E4" s="2">
        <v>0</v>
      </c>
      <c r="F4" s="2"/>
      <c r="G4" s="4"/>
    </row>
    <row r="5" spans="1:9" x14ac:dyDescent="0.25">
      <c r="A5" s="5" t="s">
        <v>38</v>
      </c>
      <c r="B5" s="17"/>
      <c r="D5" s="3"/>
      <c r="E5" s="2">
        <v>0</v>
      </c>
      <c r="F5" s="2"/>
      <c r="G5" s="4"/>
      <c r="H5" t="s">
        <v>39</v>
      </c>
      <c r="I5" t="s">
        <v>60</v>
      </c>
    </row>
    <row r="6" spans="1:9" x14ac:dyDescent="0.25">
      <c r="A6" s="4" t="s">
        <v>13</v>
      </c>
      <c r="D6" s="6">
        <f>SUM(D4:D4)</f>
        <v>0</v>
      </c>
      <c r="E6" s="7">
        <f>E4+E5</f>
        <v>0</v>
      </c>
      <c r="F6" s="2"/>
      <c r="G6" s="4"/>
      <c r="H6" s="1">
        <v>0.2</v>
      </c>
      <c r="I6" s="1">
        <v>0.8</v>
      </c>
    </row>
    <row r="7" spans="1:9" x14ac:dyDescent="0.25">
      <c r="A7" s="4"/>
      <c r="D7" s="6"/>
      <c r="E7" s="7"/>
      <c r="F7" s="2"/>
      <c r="G7" s="4"/>
      <c r="H7" s="23">
        <f>(E1-E6)*H6</f>
        <v>1025679.8</v>
      </c>
      <c r="I7" s="23">
        <f>(E1-E6)*I6</f>
        <v>4102719.2</v>
      </c>
    </row>
    <row r="8" spans="1:9" x14ac:dyDescent="0.25">
      <c r="A8" s="4" t="s">
        <v>14</v>
      </c>
      <c r="C8" s="2">
        <v>229.22</v>
      </c>
      <c r="D8" s="3">
        <v>0</v>
      </c>
      <c r="E8" s="2">
        <f t="shared" ref="E8" si="0">C8*D8</f>
        <v>0</v>
      </c>
      <c r="F8" s="7"/>
      <c r="G8" s="27" t="s">
        <v>61</v>
      </c>
      <c r="H8" s="23">
        <v>76032</v>
      </c>
    </row>
    <row r="9" spans="1:9" x14ac:dyDescent="0.25">
      <c r="A9" s="4" t="s">
        <v>16</v>
      </c>
      <c r="D9" s="4">
        <f>SUM(D8:D8)</f>
        <v>0</v>
      </c>
      <c r="E9" s="7">
        <f>SUM(E8:E8)</f>
        <v>0</v>
      </c>
      <c r="F9" s="7"/>
      <c r="H9" s="2">
        <f>E9</f>
        <v>0</v>
      </c>
    </row>
    <row r="10" spans="1:9" x14ac:dyDescent="0.25">
      <c r="A10" s="4"/>
      <c r="D10" s="4"/>
      <c r="E10" s="7"/>
      <c r="F10" s="2"/>
      <c r="G10" s="2"/>
    </row>
    <row r="11" spans="1:9" x14ac:dyDescent="0.25">
      <c r="A11" s="4" t="s">
        <v>32</v>
      </c>
      <c r="B11" s="5"/>
      <c r="C11" s="12"/>
      <c r="D11" s="5"/>
      <c r="E11" s="12"/>
      <c r="F11" s="7"/>
      <c r="G11" s="12"/>
    </row>
    <row r="12" spans="1:9" x14ac:dyDescent="0.25">
      <c r="A12" s="5" t="s">
        <v>49</v>
      </c>
      <c r="B12" s="5"/>
      <c r="C12" s="2">
        <v>229.22</v>
      </c>
      <c r="D12" s="5">
        <v>109</v>
      </c>
      <c r="E12" s="2">
        <f t="shared" ref="E12:E15" si="1">C12*D12</f>
        <v>24984.98</v>
      </c>
      <c r="F12" s="7"/>
      <c r="G12" s="28">
        <f>(2+3+12+8)*4.37</f>
        <v>109.25</v>
      </c>
      <c r="H12" s="25">
        <f>(E12+E13+1/2*H9)/(H7-H8)</f>
        <v>0.20019909486443288</v>
      </c>
    </row>
    <row r="13" spans="1:9" x14ac:dyDescent="0.25">
      <c r="A13" s="5" t="s">
        <v>50</v>
      </c>
      <c r="B13" s="5"/>
      <c r="C13" s="12">
        <v>1000.81</v>
      </c>
      <c r="D13" s="5">
        <v>165</v>
      </c>
      <c r="E13" s="2">
        <f t="shared" si="1"/>
        <v>165133.65</v>
      </c>
      <c r="F13" s="12"/>
      <c r="G13" s="28">
        <f>190-(109/4.37)</f>
        <v>165.05720823798626</v>
      </c>
    </row>
    <row r="14" spans="1:9" x14ac:dyDescent="0.25">
      <c r="A14" s="5" t="s">
        <v>51</v>
      </c>
      <c r="B14" s="5"/>
      <c r="C14" s="2">
        <v>229.22</v>
      </c>
      <c r="D14" s="5">
        <v>472</v>
      </c>
      <c r="E14" s="2">
        <f t="shared" si="1"/>
        <v>108191.84</v>
      </c>
      <c r="F14" s="12"/>
      <c r="G14" s="28">
        <f>(9+15+52+32)*4.37</f>
        <v>471.96000000000004</v>
      </c>
      <c r="I14" s="25">
        <f>(E14+E15)/I7</f>
        <v>0.20005477342929048</v>
      </c>
    </row>
    <row r="15" spans="1:9" x14ac:dyDescent="0.25">
      <c r="A15" s="5" t="s">
        <v>52</v>
      </c>
      <c r="B15" s="5"/>
      <c r="C15" s="12">
        <v>1000.81</v>
      </c>
      <c r="D15" s="5">
        <v>712</v>
      </c>
      <c r="E15" s="2">
        <f t="shared" si="1"/>
        <v>712576.72</v>
      </c>
      <c r="F15" s="12"/>
      <c r="G15" s="28">
        <f>820-(472/4.37)</f>
        <v>711.99084668192222</v>
      </c>
    </row>
    <row r="16" spans="1:9" x14ac:dyDescent="0.25">
      <c r="A16" s="4" t="s">
        <v>30</v>
      </c>
      <c r="D16" s="4"/>
      <c r="E16" s="7">
        <f>SUM(E12:E15)</f>
        <v>1010887.19</v>
      </c>
      <c r="F16" s="12"/>
      <c r="G16" s="7"/>
      <c r="H16" s="2"/>
    </row>
    <row r="17" spans="1:14" x14ac:dyDescent="0.25">
      <c r="A17" s="4"/>
      <c r="F17" s="12"/>
      <c r="H17" s="1"/>
    </row>
    <row r="18" spans="1:14" x14ac:dyDescent="0.25">
      <c r="A18" s="4" t="s">
        <v>53</v>
      </c>
      <c r="B18" s="1"/>
      <c r="E18" s="19"/>
      <c r="F18" s="7"/>
      <c r="G18" s="12"/>
      <c r="H18" s="2"/>
      <c r="I18" s="5"/>
    </row>
    <row r="19" spans="1:14" x14ac:dyDescent="0.25">
      <c r="A19" s="5" t="s">
        <v>54</v>
      </c>
      <c r="B19" s="13"/>
      <c r="C19" s="12"/>
      <c r="D19" s="5"/>
      <c r="E19" s="26">
        <v>379859</v>
      </c>
      <c r="G19" s="12"/>
      <c r="H19" s="25">
        <f>E19/(H7-H8)</f>
        <v>0.39999987363736322</v>
      </c>
      <c r="I19" s="5"/>
    </row>
    <row r="20" spans="1:14" x14ac:dyDescent="0.25">
      <c r="A20" s="5" t="s">
        <v>55</v>
      </c>
      <c r="B20" s="13"/>
      <c r="C20" s="12"/>
      <c r="D20" s="5"/>
      <c r="E20" s="26">
        <v>1641088</v>
      </c>
      <c r="F20" s="7"/>
      <c r="G20" s="12"/>
      <c r="H20" s="2"/>
      <c r="I20" s="14">
        <f>E20/I7</f>
        <v>0.40000007799705128</v>
      </c>
    </row>
    <row r="21" spans="1:14" x14ac:dyDescent="0.25">
      <c r="A21" s="4" t="s">
        <v>56</v>
      </c>
      <c r="B21" s="1"/>
      <c r="E21" s="19">
        <f>SUM(E19:E20)</f>
        <v>2020947</v>
      </c>
      <c r="F21" s="12"/>
      <c r="G21" s="12"/>
      <c r="H21" s="2"/>
      <c r="I21" s="5"/>
    </row>
    <row r="22" spans="1:14" x14ac:dyDescent="0.25">
      <c r="F22" s="12"/>
      <c r="H22" s="1"/>
      <c r="I22" s="5"/>
    </row>
    <row r="23" spans="1:14" x14ac:dyDescent="0.25">
      <c r="A23" s="4" t="s">
        <v>17</v>
      </c>
      <c r="E23" s="19"/>
      <c r="F23" s="7"/>
      <c r="G23" s="9"/>
      <c r="H23" s="2"/>
      <c r="I23" s="15"/>
    </row>
    <row r="24" spans="1:14" x14ac:dyDescent="0.25">
      <c r="A24" s="5" t="s">
        <v>57</v>
      </c>
      <c r="B24" s="5"/>
      <c r="C24" s="12"/>
      <c r="D24" s="5"/>
      <c r="E24" s="26">
        <v>379859</v>
      </c>
      <c r="G24" s="9"/>
      <c r="H24" s="25">
        <f>(E24+1/2*H9)/(H7-H8)</f>
        <v>0.39999987363736322</v>
      </c>
      <c r="I24" s="15"/>
    </row>
    <row r="25" spans="1:14" x14ac:dyDescent="0.25">
      <c r="A25" s="5" t="s">
        <v>58</v>
      </c>
      <c r="B25" s="5"/>
      <c r="C25" s="12"/>
      <c r="D25" s="5"/>
      <c r="E25" s="26">
        <v>1641088</v>
      </c>
      <c r="F25" s="7"/>
      <c r="G25" s="9"/>
      <c r="H25" s="2"/>
      <c r="I25" s="14">
        <f>E25/I7</f>
        <v>0.40000007799705128</v>
      </c>
    </row>
    <row r="26" spans="1:14" x14ac:dyDescent="0.25">
      <c r="A26" s="4" t="s">
        <v>59</v>
      </c>
      <c r="E26" s="19">
        <f>SUM(E24:E25)</f>
        <v>2020947</v>
      </c>
      <c r="F26" s="12"/>
      <c r="G26" s="9"/>
      <c r="H26" s="2"/>
      <c r="I26" s="15"/>
    </row>
    <row r="27" spans="1:14" x14ac:dyDescent="0.25">
      <c r="F27" s="12"/>
      <c r="H27" s="1"/>
      <c r="I27" s="5"/>
      <c r="J27" s="20"/>
    </row>
    <row r="28" spans="1:14" x14ac:dyDescent="0.25">
      <c r="A28" t="s">
        <v>19</v>
      </c>
      <c r="E28" s="2">
        <f>E1-E6-H8-E9-E16-E21-E26</f>
        <v>-414.18999999994412</v>
      </c>
      <c r="F28" s="7"/>
      <c r="I28" s="5"/>
      <c r="J28" s="20"/>
    </row>
    <row r="29" spans="1:14" x14ac:dyDescent="0.25">
      <c r="C29" s="3"/>
      <c r="K29" s="20"/>
    </row>
    <row r="30" spans="1:14" s="5" customFormat="1" x14ac:dyDescent="0.25">
      <c r="A30"/>
      <c r="B30"/>
      <c r="C30" s="3"/>
      <c r="D30"/>
      <c r="E30"/>
      <c r="F30" s="2"/>
      <c r="G30"/>
      <c r="H30"/>
      <c r="I30"/>
      <c r="J30"/>
      <c r="K30"/>
      <c r="L30" s="20"/>
      <c r="M30" s="20"/>
      <c r="N30" s="20"/>
    </row>
    <row r="31" spans="1:14" x14ac:dyDescent="0.25">
      <c r="C31" s="3"/>
    </row>
    <row r="32" spans="1:14" x14ac:dyDescent="0.25">
      <c r="C32" s="3"/>
    </row>
    <row r="33" spans="3:3" x14ac:dyDescent="0.25">
      <c r="C33" s="3"/>
    </row>
    <row r="34" spans="3:3" x14ac:dyDescent="0.25">
      <c r="C34" s="3"/>
    </row>
    <row r="35" spans="3:3" x14ac:dyDescent="0.25">
      <c r="C35" s="3"/>
    </row>
    <row r="36" spans="3:3" x14ac:dyDescent="0.25">
      <c r="C36" s="3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2014</oddHeader>
    <oddFooter>&amp;LVAPH - cel zorgregie&amp;C&amp;A&amp;R&amp;F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130" zoomScaleNormal="130"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9.85546875" style="2" bestFit="1" customWidth="1"/>
    <col min="5" max="5" width="12.5703125" customWidth="1"/>
    <col min="6" max="6" width="2.7109375" customWidth="1"/>
    <col min="7" max="7" width="17.5703125" customWidth="1"/>
    <col min="8" max="8" width="15.7109375" bestFit="1" customWidth="1"/>
    <col min="9" max="9" width="16.85546875" bestFit="1" customWidth="1"/>
    <col min="10" max="10" width="6" bestFit="1" customWidth="1"/>
    <col min="11" max="11" width="5" bestFit="1" customWidth="1"/>
    <col min="12" max="12" width="7" bestFit="1" customWidth="1"/>
  </cols>
  <sheetData>
    <row r="1" spans="1:9" x14ac:dyDescent="0.25">
      <c r="A1" s="4" t="s">
        <v>21</v>
      </c>
      <c r="D1" s="3"/>
      <c r="E1" s="7">
        <v>2013828</v>
      </c>
      <c r="F1" s="7"/>
    </row>
    <row r="2" spans="1:9" x14ac:dyDescent="0.25">
      <c r="A2" s="4"/>
      <c r="D2" s="3"/>
      <c r="E2" s="7"/>
      <c r="F2" s="7"/>
    </row>
    <row r="3" spans="1:9" x14ac:dyDescent="0.25">
      <c r="A3" s="4" t="s">
        <v>0</v>
      </c>
      <c r="B3" s="1"/>
      <c r="C3" s="10" t="s">
        <v>25</v>
      </c>
      <c r="D3" s="3" t="s">
        <v>6</v>
      </c>
      <c r="E3" s="4" t="s">
        <v>23</v>
      </c>
    </row>
    <row r="4" spans="1:9" x14ac:dyDescent="0.25">
      <c r="A4" s="5" t="s">
        <v>37</v>
      </c>
      <c r="B4" s="17"/>
      <c r="D4" s="3"/>
      <c r="E4" s="2">
        <f t="shared" ref="E4:E6" si="0">C4*D4</f>
        <v>0</v>
      </c>
      <c r="F4" s="2"/>
      <c r="G4" s="4"/>
    </row>
    <row r="5" spans="1:9" x14ac:dyDescent="0.25">
      <c r="A5" t="s">
        <v>9</v>
      </c>
      <c r="B5" s="17">
        <v>1</v>
      </c>
      <c r="C5" s="2">
        <v>60828</v>
      </c>
      <c r="D5" s="3">
        <v>2</v>
      </c>
      <c r="E5" s="2">
        <f t="shared" si="0"/>
        <v>121656</v>
      </c>
      <c r="F5" s="2"/>
      <c r="G5" s="4" t="s">
        <v>66</v>
      </c>
    </row>
    <row r="6" spans="1:9" x14ac:dyDescent="0.25">
      <c r="A6" t="s">
        <v>10</v>
      </c>
      <c r="B6" s="17">
        <v>1</v>
      </c>
      <c r="C6" s="2">
        <v>70749</v>
      </c>
      <c r="D6" s="3">
        <v>8</v>
      </c>
      <c r="E6" s="2">
        <f t="shared" si="0"/>
        <v>565992</v>
      </c>
      <c r="F6" s="2"/>
      <c r="G6" s="4" t="s">
        <v>66</v>
      </c>
    </row>
    <row r="7" spans="1:9" x14ac:dyDescent="0.25">
      <c r="A7" s="5" t="s">
        <v>38</v>
      </c>
      <c r="B7" s="17"/>
      <c r="D7" s="3"/>
      <c r="E7" s="2">
        <f>SUM(E5:E6)</f>
        <v>687648</v>
      </c>
      <c r="F7" s="2"/>
      <c r="G7" s="4"/>
      <c r="H7" t="s">
        <v>39</v>
      </c>
      <c r="I7" t="s">
        <v>60</v>
      </c>
    </row>
    <row r="8" spans="1:9" x14ac:dyDescent="0.25">
      <c r="A8" s="4" t="s">
        <v>13</v>
      </c>
      <c r="D8" s="6">
        <f>SUM(D4:D6)</f>
        <v>10</v>
      </c>
      <c r="E8" s="7">
        <f>E4+E7</f>
        <v>687648</v>
      </c>
      <c r="F8" s="7"/>
      <c r="G8" s="27" t="s">
        <v>61</v>
      </c>
      <c r="H8" s="1">
        <v>0.2</v>
      </c>
      <c r="I8" s="1">
        <v>0.8</v>
      </c>
    </row>
    <row r="9" spans="1:9" x14ac:dyDescent="0.25">
      <c r="A9" s="4"/>
      <c r="D9" s="6"/>
      <c r="E9" s="7"/>
      <c r="F9" s="7"/>
      <c r="G9" s="2"/>
      <c r="H9" s="23">
        <f>(E1-E8)*H8</f>
        <v>265236</v>
      </c>
      <c r="I9" s="23">
        <f>(E1-E8)*I8</f>
        <v>1060944</v>
      </c>
    </row>
    <row r="10" spans="1:9" x14ac:dyDescent="0.25">
      <c r="A10" s="4" t="s">
        <v>14</v>
      </c>
      <c r="C10" s="2">
        <v>229.22</v>
      </c>
      <c r="D10" s="3">
        <v>0</v>
      </c>
      <c r="E10" s="2">
        <f t="shared" ref="E10" si="1">C10*D10</f>
        <v>0</v>
      </c>
      <c r="F10" s="2"/>
      <c r="G10" s="10"/>
      <c r="H10" s="23">
        <v>29856</v>
      </c>
    </row>
    <row r="11" spans="1:9" x14ac:dyDescent="0.25">
      <c r="A11" s="4" t="s">
        <v>16</v>
      </c>
      <c r="D11" s="4">
        <f>SUM(D10:D10)</f>
        <v>0</v>
      </c>
      <c r="E11" s="7">
        <f>SUM(E10:E10)</f>
        <v>0</v>
      </c>
      <c r="F11" s="7"/>
      <c r="H11" s="2">
        <f>E11</f>
        <v>0</v>
      </c>
    </row>
    <row r="12" spans="1:9" x14ac:dyDescent="0.25">
      <c r="A12" s="4"/>
      <c r="D12" s="4"/>
      <c r="E12" s="7"/>
      <c r="F12" s="7"/>
      <c r="G12" s="2"/>
    </row>
    <row r="13" spans="1:9" x14ac:dyDescent="0.25">
      <c r="A13" s="4" t="s">
        <v>32</v>
      </c>
      <c r="B13" s="5"/>
      <c r="C13" s="12"/>
      <c r="D13" s="5"/>
      <c r="E13" s="12"/>
      <c r="F13" s="12"/>
      <c r="G13" s="12"/>
    </row>
    <row r="14" spans="1:9" x14ac:dyDescent="0.25">
      <c r="A14" s="5" t="s">
        <v>49</v>
      </c>
      <c r="B14" s="5"/>
      <c r="C14" s="2">
        <v>229.22</v>
      </c>
      <c r="D14" s="5">
        <f>7+96</f>
        <v>103</v>
      </c>
      <c r="E14" s="2">
        <f t="shared" ref="E14:E17" si="2">C14*D14</f>
        <v>23609.66</v>
      </c>
      <c r="F14" s="12"/>
      <c r="G14" s="12"/>
      <c r="H14" s="25">
        <f>(E14+E15+1/2*H11)/(H9-H10)</f>
        <v>0.20013883422550766</v>
      </c>
    </row>
    <row r="15" spans="1:9" x14ac:dyDescent="0.25">
      <c r="A15" s="5" t="s">
        <v>50</v>
      </c>
      <c r="B15" s="5"/>
      <c r="C15" s="12">
        <v>1000.81</v>
      </c>
      <c r="D15" s="5">
        <f>4*5.87</f>
        <v>23.48</v>
      </c>
      <c r="E15" s="2">
        <f t="shared" si="2"/>
        <v>23499.018799999998</v>
      </c>
      <c r="F15" s="12"/>
      <c r="G15" s="12"/>
    </row>
    <row r="16" spans="1:9" x14ac:dyDescent="0.25">
      <c r="A16" s="5" t="s">
        <v>51</v>
      </c>
      <c r="B16" s="5"/>
      <c r="C16" s="2">
        <v>229.22</v>
      </c>
      <c r="D16" s="5">
        <f>10+51+444</f>
        <v>505</v>
      </c>
      <c r="E16" s="2">
        <f t="shared" si="2"/>
        <v>115756.1</v>
      </c>
      <c r="F16" s="12"/>
      <c r="G16" s="12"/>
      <c r="I16" s="25">
        <f>(E16+E17)/I9</f>
        <v>0.19999561098418014</v>
      </c>
    </row>
    <row r="17" spans="1:14" x14ac:dyDescent="0.25">
      <c r="A17" s="5" t="s">
        <v>52</v>
      </c>
      <c r="B17" s="5"/>
      <c r="C17" s="12">
        <v>1000.81</v>
      </c>
      <c r="D17" s="5">
        <f>19.27*5</f>
        <v>96.35</v>
      </c>
      <c r="E17" s="2">
        <f t="shared" si="2"/>
        <v>96428.043499999985</v>
      </c>
      <c r="F17" s="12"/>
      <c r="G17" s="12"/>
    </row>
    <row r="18" spans="1:14" x14ac:dyDescent="0.25">
      <c r="A18" s="4" t="s">
        <v>30</v>
      </c>
      <c r="D18" s="4"/>
      <c r="E18" s="7">
        <f>SUM(E14:E17)</f>
        <v>259292.8223</v>
      </c>
      <c r="F18" s="7"/>
      <c r="G18" s="7"/>
      <c r="H18" s="2"/>
    </row>
    <row r="19" spans="1:14" x14ac:dyDescent="0.25">
      <c r="A19" s="4"/>
      <c r="H19" s="1"/>
    </row>
    <row r="20" spans="1:14" x14ac:dyDescent="0.25">
      <c r="A20" s="4" t="s">
        <v>53</v>
      </c>
      <c r="B20" s="1"/>
      <c r="E20" s="19"/>
      <c r="F20" s="7"/>
      <c r="G20" s="12"/>
      <c r="H20" s="2"/>
      <c r="I20" s="5"/>
    </row>
    <row r="21" spans="1:14" x14ac:dyDescent="0.25">
      <c r="A21" s="5" t="s">
        <v>54</v>
      </c>
      <c r="B21" s="13"/>
      <c r="C21" s="12"/>
      <c r="D21" s="5"/>
      <c r="E21" s="26">
        <v>94152</v>
      </c>
      <c r="F21" s="12"/>
      <c r="G21" s="12"/>
      <c r="H21" s="25">
        <f>E21/(H9-H10)</f>
        <v>0.4</v>
      </c>
      <c r="I21" s="5"/>
    </row>
    <row r="22" spans="1:14" x14ac:dyDescent="0.25">
      <c r="A22" s="5" t="s">
        <v>55</v>
      </c>
      <c r="B22" s="13"/>
      <c r="C22" s="12"/>
      <c r="D22" s="5"/>
      <c r="E22" s="26">
        <v>424377</v>
      </c>
      <c r="F22" s="12"/>
      <c r="G22" s="12"/>
      <c r="H22" s="2"/>
      <c r="I22" s="14">
        <f>E22/I9</f>
        <v>0.39999943446590963</v>
      </c>
    </row>
    <row r="23" spans="1:14" x14ac:dyDescent="0.25">
      <c r="A23" s="4" t="s">
        <v>56</v>
      </c>
      <c r="B23" s="1"/>
      <c r="E23" s="19">
        <f>SUM(E21:E22)</f>
        <v>518529</v>
      </c>
      <c r="F23" s="7"/>
      <c r="G23" s="12"/>
      <c r="H23" s="2"/>
      <c r="I23" s="5"/>
    </row>
    <row r="24" spans="1:14" x14ac:dyDescent="0.25">
      <c r="H24" s="1"/>
      <c r="I24" s="5"/>
    </row>
    <row r="25" spans="1:14" x14ac:dyDescent="0.25">
      <c r="A25" s="4" t="s">
        <v>17</v>
      </c>
      <c r="E25" s="19"/>
      <c r="F25" s="7"/>
      <c r="G25" s="9"/>
      <c r="H25" s="2"/>
      <c r="I25" s="15"/>
    </row>
    <row r="26" spans="1:14" x14ac:dyDescent="0.25">
      <c r="A26" s="5" t="s">
        <v>57</v>
      </c>
      <c r="B26" s="5"/>
      <c r="C26" s="12"/>
      <c r="D26" s="5"/>
      <c r="E26" s="26">
        <v>94152</v>
      </c>
      <c r="F26" s="12"/>
      <c r="G26" s="9"/>
      <c r="H26" s="25">
        <f>(E26+1/2*H11)/(H9-H10)</f>
        <v>0.4</v>
      </c>
      <c r="I26" s="15"/>
    </row>
    <row r="27" spans="1:14" x14ac:dyDescent="0.25">
      <c r="A27" s="5" t="s">
        <v>58</v>
      </c>
      <c r="B27" s="5"/>
      <c r="C27" s="12"/>
      <c r="D27" s="5"/>
      <c r="E27" s="26">
        <v>424377</v>
      </c>
      <c r="F27" s="12"/>
      <c r="G27" s="9"/>
      <c r="H27" s="2"/>
      <c r="I27" s="14">
        <f>E27/I9</f>
        <v>0.39999943446590963</v>
      </c>
    </row>
    <row r="28" spans="1:14" x14ac:dyDescent="0.25">
      <c r="A28" s="4" t="s">
        <v>59</v>
      </c>
      <c r="E28" s="19">
        <f>SUM(E26:E27)</f>
        <v>518529</v>
      </c>
      <c r="F28" s="7"/>
      <c r="G28" s="9"/>
      <c r="H28" s="2"/>
      <c r="I28" s="15"/>
    </row>
    <row r="29" spans="1:14" x14ac:dyDescent="0.25">
      <c r="H29" s="1"/>
      <c r="I29" s="5"/>
      <c r="J29" s="20"/>
    </row>
    <row r="30" spans="1:14" s="5" customFormat="1" x14ac:dyDescent="0.25">
      <c r="A30" t="s">
        <v>19</v>
      </c>
      <c r="B30"/>
      <c r="C30" s="2"/>
      <c r="D30"/>
      <c r="E30" s="2">
        <f>E1-E8-H10-E11-E18-E23-E28</f>
        <v>-26.822299999999814</v>
      </c>
      <c r="F30" s="2"/>
      <c r="G30"/>
      <c r="H30"/>
      <c r="J30" s="20"/>
      <c r="K30" s="20"/>
      <c r="L30" s="20"/>
      <c r="M30" s="20"/>
      <c r="N30" s="20"/>
    </row>
    <row r="31" spans="1:14" x14ac:dyDescent="0.25">
      <c r="C31" s="3"/>
    </row>
    <row r="32" spans="1:14" x14ac:dyDescent="0.25">
      <c r="C32" s="3"/>
    </row>
    <row r="33" spans="3:3" x14ac:dyDescent="0.25">
      <c r="C33" s="3"/>
    </row>
    <row r="34" spans="3:3" x14ac:dyDescent="0.25">
      <c r="C34" s="3"/>
    </row>
    <row r="35" spans="3:3" x14ac:dyDescent="0.25">
      <c r="C35" s="3"/>
    </row>
    <row r="36" spans="3:3" x14ac:dyDescent="0.25">
      <c r="C36" s="3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  <row r="41" spans="3:3" x14ac:dyDescent="0.25">
      <c r="C41" s="3"/>
    </row>
    <row r="42" spans="3:3" x14ac:dyDescent="0.25">
      <c r="C42" s="3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2014</oddHeader>
    <oddFooter>&amp;LVAPH - cel zorgregie&amp;C&amp;A&amp;R&amp;F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16" zoomScale="130" zoomScaleNormal="130"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9.85546875" style="2" bestFit="1" customWidth="1"/>
    <col min="5" max="5" width="12.5703125" customWidth="1"/>
    <col min="6" max="6" width="2.7109375" customWidth="1"/>
    <col min="7" max="7" width="20.85546875" customWidth="1"/>
    <col min="8" max="8" width="15.7109375" bestFit="1" customWidth="1"/>
    <col min="9" max="9" width="16.85546875" bestFit="1" customWidth="1"/>
    <col min="10" max="10" width="6" bestFit="1" customWidth="1"/>
    <col min="11" max="11" width="5" bestFit="1" customWidth="1"/>
    <col min="12" max="12" width="7" bestFit="1" customWidth="1"/>
  </cols>
  <sheetData>
    <row r="1" spans="1:9" x14ac:dyDescent="0.25">
      <c r="A1" s="4" t="s">
        <v>22</v>
      </c>
      <c r="D1" s="3"/>
      <c r="E1" s="7">
        <v>3313956</v>
      </c>
      <c r="F1" s="7"/>
    </row>
    <row r="2" spans="1:9" x14ac:dyDescent="0.25">
      <c r="A2" s="4"/>
      <c r="D2" s="3"/>
      <c r="E2" s="7"/>
      <c r="F2" s="7"/>
    </row>
    <row r="3" spans="1:9" x14ac:dyDescent="0.25">
      <c r="A3" s="4" t="s">
        <v>0</v>
      </c>
      <c r="B3" s="1"/>
      <c r="C3" s="10" t="s">
        <v>25</v>
      </c>
      <c r="D3" s="3" t="s">
        <v>6</v>
      </c>
      <c r="E3" s="4" t="s">
        <v>23</v>
      </c>
    </row>
    <row r="4" spans="1:9" x14ac:dyDescent="0.25">
      <c r="A4" s="5" t="s">
        <v>37</v>
      </c>
      <c r="B4" s="17"/>
      <c r="D4" s="3"/>
      <c r="E4" s="2">
        <v>0</v>
      </c>
      <c r="F4" s="2"/>
      <c r="G4" s="4"/>
    </row>
    <row r="5" spans="1:9" x14ac:dyDescent="0.25">
      <c r="A5" t="s">
        <v>9</v>
      </c>
      <c r="B5" s="17">
        <v>0.8</v>
      </c>
      <c r="C5" s="2">
        <v>54138</v>
      </c>
      <c r="D5" s="3">
        <v>3</v>
      </c>
      <c r="E5" s="2">
        <f t="shared" ref="E5" si="0">C5*D5</f>
        <v>162414</v>
      </c>
      <c r="F5" s="2"/>
      <c r="G5" s="5" t="s">
        <v>71</v>
      </c>
    </row>
    <row r="6" spans="1:9" x14ac:dyDescent="0.25">
      <c r="B6" s="17">
        <v>1</v>
      </c>
      <c r="C6" s="2">
        <v>60828</v>
      </c>
      <c r="D6" s="3">
        <v>3</v>
      </c>
      <c r="E6" s="2">
        <f t="shared" ref="E6:E10" si="1">C6*D6</f>
        <v>182484</v>
      </c>
      <c r="F6" s="2"/>
      <c r="G6" s="5" t="s">
        <v>71</v>
      </c>
    </row>
    <row r="7" spans="1:9" x14ac:dyDescent="0.25">
      <c r="B7" s="17">
        <v>1</v>
      </c>
      <c r="C7" s="2">
        <v>60828</v>
      </c>
      <c r="D7" s="3">
        <v>2</v>
      </c>
      <c r="E7" s="2">
        <f t="shared" si="1"/>
        <v>121656</v>
      </c>
      <c r="F7" s="2"/>
      <c r="G7" s="5" t="s">
        <v>72</v>
      </c>
    </row>
    <row r="8" spans="1:9" x14ac:dyDescent="0.25">
      <c r="A8" t="s">
        <v>10</v>
      </c>
      <c r="B8" s="17">
        <v>1</v>
      </c>
      <c r="C8" s="2">
        <v>70749</v>
      </c>
      <c r="D8" s="3">
        <v>1</v>
      </c>
      <c r="E8" s="2">
        <f t="shared" si="1"/>
        <v>70749</v>
      </c>
      <c r="F8" s="2"/>
      <c r="G8" s="5" t="s">
        <v>72</v>
      </c>
    </row>
    <row r="9" spans="1:9" x14ac:dyDescent="0.25">
      <c r="B9" s="17">
        <v>1</v>
      </c>
      <c r="C9" s="2">
        <v>70749</v>
      </c>
      <c r="D9" s="3">
        <v>6</v>
      </c>
      <c r="E9" s="2">
        <f t="shared" si="1"/>
        <v>424494</v>
      </c>
      <c r="F9" s="2"/>
      <c r="G9" s="5" t="s">
        <v>73</v>
      </c>
      <c r="H9" t="s">
        <v>39</v>
      </c>
      <c r="I9" t="s">
        <v>60</v>
      </c>
    </row>
    <row r="10" spans="1:9" x14ac:dyDescent="0.25">
      <c r="B10" s="17">
        <v>0.8</v>
      </c>
      <c r="C10" s="2">
        <v>62967</v>
      </c>
      <c r="D10" s="3">
        <v>4</v>
      </c>
      <c r="E10" s="2">
        <f t="shared" si="1"/>
        <v>251868</v>
      </c>
      <c r="F10" s="2"/>
      <c r="G10" s="4" t="s">
        <v>73</v>
      </c>
      <c r="H10" s="1">
        <v>0.2</v>
      </c>
      <c r="I10" s="1">
        <v>0.8</v>
      </c>
    </row>
    <row r="11" spans="1:9" x14ac:dyDescent="0.25">
      <c r="A11" s="5" t="s">
        <v>38</v>
      </c>
      <c r="B11" s="17"/>
      <c r="D11" s="3"/>
      <c r="E11" s="2">
        <f>SUM(E5:E10)</f>
        <v>1213665</v>
      </c>
      <c r="F11" s="2"/>
      <c r="G11" s="4"/>
      <c r="H11" s="23">
        <f>(E1-E12)*H10</f>
        <v>420058.2</v>
      </c>
      <c r="I11" s="23">
        <f>(E1-E12)*I10</f>
        <v>1680232.8</v>
      </c>
    </row>
    <row r="12" spans="1:9" x14ac:dyDescent="0.25">
      <c r="A12" s="4" t="s">
        <v>13</v>
      </c>
      <c r="D12" s="6">
        <f>SUM(D4:D10)</f>
        <v>19</v>
      </c>
      <c r="E12" s="7">
        <f>E4+E11</f>
        <v>1213665</v>
      </c>
      <c r="F12" s="7"/>
      <c r="G12" s="27" t="s">
        <v>61</v>
      </c>
      <c r="H12" s="23">
        <v>49131</v>
      </c>
    </row>
    <row r="13" spans="1:9" x14ac:dyDescent="0.25">
      <c r="A13" s="4"/>
      <c r="D13" s="6"/>
      <c r="E13" s="7"/>
      <c r="F13" s="7"/>
      <c r="G13" s="2"/>
    </row>
    <row r="14" spans="1:9" x14ac:dyDescent="0.25">
      <c r="A14" s="4" t="s">
        <v>14</v>
      </c>
      <c r="C14" s="2">
        <v>229.22</v>
      </c>
      <c r="D14" s="3">
        <v>0</v>
      </c>
      <c r="E14" s="2">
        <f t="shared" ref="E14" si="2">C14*D14</f>
        <v>0</v>
      </c>
      <c r="F14" s="2"/>
      <c r="G14" s="10"/>
    </row>
    <row r="15" spans="1:9" x14ac:dyDescent="0.25">
      <c r="A15" s="4" t="s">
        <v>16</v>
      </c>
      <c r="D15" s="4">
        <f>SUM(D14:D14)</f>
        <v>0</v>
      </c>
      <c r="E15" s="7">
        <f>SUM(E14:E14)</f>
        <v>0</v>
      </c>
      <c r="F15" s="7"/>
      <c r="H15" s="2">
        <f>E15</f>
        <v>0</v>
      </c>
    </row>
    <row r="16" spans="1:9" x14ac:dyDescent="0.25">
      <c r="A16" s="4"/>
      <c r="D16" s="4"/>
      <c r="E16" s="7"/>
      <c r="F16" s="7"/>
      <c r="G16" s="2"/>
    </row>
    <row r="17" spans="1:9" x14ac:dyDescent="0.25">
      <c r="A17" s="4" t="s">
        <v>32</v>
      </c>
      <c r="B17" s="5"/>
      <c r="C17" s="12"/>
      <c r="D17" s="5"/>
      <c r="E17" s="12"/>
      <c r="F17" s="12"/>
      <c r="G17" s="12"/>
    </row>
    <row r="18" spans="1:9" x14ac:dyDescent="0.25">
      <c r="A18" s="5" t="s">
        <v>49</v>
      </c>
      <c r="B18" s="5"/>
      <c r="C18" s="2">
        <v>229.22</v>
      </c>
      <c r="D18" s="5">
        <f>196+61+23+16+15+13</f>
        <v>324</v>
      </c>
      <c r="E18" s="2">
        <f t="shared" ref="E18:E21" si="3">C18*D18</f>
        <v>74267.28</v>
      </c>
      <c r="F18" s="12"/>
      <c r="G18" s="12"/>
      <c r="H18" s="25">
        <f>(E18+E19+1/2*H15)/(H11-H12)</f>
        <v>0.20022063628658129</v>
      </c>
    </row>
    <row r="19" spans="1:9" x14ac:dyDescent="0.25">
      <c r="A19" s="5" t="s">
        <v>50</v>
      </c>
      <c r="B19" s="5"/>
      <c r="C19" s="12">
        <v>1000.81</v>
      </c>
      <c r="D19" s="5">
        <v>0</v>
      </c>
      <c r="E19" s="2">
        <f t="shared" si="3"/>
        <v>0</v>
      </c>
      <c r="F19" s="12"/>
      <c r="G19" s="12"/>
    </row>
    <row r="20" spans="1:9" x14ac:dyDescent="0.25">
      <c r="A20" s="5" t="s">
        <v>51</v>
      </c>
      <c r="B20" s="5"/>
      <c r="C20" s="2">
        <v>229.22</v>
      </c>
      <c r="D20" s="5">
        <v>0</v>
      </c>
      <c r="E20" s="2">
        <f t="shared" si="3"/>
        <v>0</v>
      </c>
      <c r="F20" s="12"/>
      <c r="G20" s="12"/>
      <c r="I20" s="25">
        <f>(E20+E21)/I11</f>
        <v>0.20013426710870064</v>
      </c>
    </row>
    <row r="21" spans="1:9" x14ac:dyDescent="0.25">
      <c r="A21" s="5" t="s">
        <v>52</v>
      </c>
      <c r="B21" s="5"/>
      <c r="C21" s="12">
        <v>1000.81</v>
      </c>
      <c r="D21" s="5">
        <f>150+100+28+10+39+9</f>
        <v>336</v>
      </c>
      <c r="E21" s="2">
        <f t="shared" si="3"/>
        <v>336272.16</v>
      </c>
      <c r="F21" s="12"/>
      <c r="G21" s="12"/>
    </row>
    <row r="22" spans="1:9" x14ac:dyDescent="0.25">
      <c r="A22" s="4" t="s">
        <v>30</v>
      </c>
      <c r="D22" s="4"/>
      <c r="E22" s="7">
        <f>SUM(E18:E21)</f>
        <v>410539.43999999994</v>
      </c>
      <c r="F22" s="7"/>
      <c r="G22" s="7"/>
      <c r="H22" s="2"/>
    </row>
    <row r="23" spans="1:9" x14ac:dyDescent="0.25">
      <c r="A23" s="4"/>
      <c r="H23" s="1"/>
    </row>
    <row r="24" spans="1:9" x14ac:dyDescent="0.25">
      <c r="A24" s="4" t="s">
        <v>53</v>
      </c>
      <c r="B24" s="1"/>
      <c r="E24" s="19"/>
      <c r="F24" s="7"/>
      <c r="G24" s="12"/>
      <c r="H24" s="2"/>
      <c r="I24" s="5"/>
    </row>
    <row r="25" spans="1:9" x14ac:dyDescent="0.25">
      <c r="A25" s="5" t="s">
        <v>54</v>
      </c>
      <c r="B25" s="13"/>
      <c r="C25" s="12"/>
      <c r="D25" s="5"/>
      <c r="E25" s="26">
        <v>148371</v>
      </c>
      <c r="F25" s="12"/>
      <c r="G25" s="12"/>
      <c r="H25" s="25">
        <f>E25/(H11-H12)</f>
        <v>0.4000003235136167</v>
      </c>
      <c r="I25" s="5"/>
    </row>
    <row r="26" spans="1:9" x14ac:dyDescent="0.25">
      <c r="A26" s="5" t="s">
        <v>55</v>
      </c>
      <c r="B26" s="13"/>
      <c r="C26" s="12"/>
      <c r="D26" s="5"/>
      <c r="E26" s="26">
        <v>672092</v>
      </c>
      <c r="F26" s="12"/>
      <c r="G26" s="12"/>
      <c r="H26" s="2"/>
      <c r="I26" s="14">
        <f>E26/I11</f>
        <v>0.39999933342570149</v>
      </c>
    </row>
    <row r="27" spans="1:9" x14ac:dyDescent="0.25">
      <c r="A27" s="4" t="s">
        <v>56</v>
      </c>
      <c r="B27" s="1"/>
      <c r="E27" s="19">
        <f>SUM(E25:E26)</f>
        <v>820463</v>
      </c>
      <c r="F27" s="7"/>
      <c r="G27" s="12"/>
      <c r="H27" s="2"/>
      <c r="I27" s="5"/>
    </row>
    <row r="28" spans="1:9" ht="10.5" customHeight="1" x14ac:dyDescent="0.25">
      <c r="H28" s="1"/>
      <c r="I28" s="5"/>
    </row>
    <row r="29" spans="1:9" x14ac:dyDescent="0.25">
      <c r="A29" s="4" t="s">
        <v>17</v>
      </c>
      <c r="E29" s="19"/>
      <c r="F29" s="7"/>
      <c r="G29" s="9"/>
      <c r="H29" s="2"/>
      <c r="I29" s="15"/>
    </row>
    <row r="30" spans="1:9" x14ac:dyDescent="0.25">
      <c r="A30" s="5" t="s">
        <v>57</v>
      </c>
      <c r="B30" s="5"/>
      <c r="C30" s="12"/>
      <c r="D30" s="5"/>
      <c r="E30" s="26">
        <v>148371</v>
      </c>
      <c r="F30" s="12"/>
      <c r="G30" s="9"/>
      <c r="H30" s="25">
        <f>(E30+1/2*H15)/(H11-H12)</f>
        <v>0.4000003235136167</v>
      </c>
      <c r="I30" s="15"/>
    </row>
    <row r="31" spans="1:9" x14ac:dyDescent="0.25">
      <c r="A31" s="5" t="s">
        <v>58</v>
      </c>
      <c r="B31" s="5"/>
      <c r="C31" s="12"/>
      <c r="D31" s="5"/>
      <c r="E31" s="26">
        <v>672092</v>
      </c>
      <c r="F31" s="12"/>
      <c r="G31" s="9"/>
      <c r="H31" s="2"/>
      <c r="I31" s="14">
        <f>E31/I11</f>
        <v>0.39999933342570149</v>
      </c>
    </row>
    <row r="32" spans="1:9" x14ac:dyDescent="0.25">
      <c r="A32" s="4" t="s">
        <v>59</v>
      </c>
      <c r="E32" s="19">
        <f>SUM(E30:E31)</f>
        <v>820463</v>
      </c>
      <c r="F32" s="7"/>
      <c r="G32" s="9"/>
      <c r="H32" s="2"/>
      <c r="I32" s="15"/>
    </row>
    <row r="33" spans="1:14" ht="7.5" customHeight="1" x14ac:dyDescent="0.25">
      <c r="H33" s="1"/>
      <c r="I33" s="5"/>
    </row>
    <row r="34" spans="1:14" x14ac:dyDescent="0.25">
      <c r="A34" t="s">
        <v>19</v>
      </c>
      <c r="E34" s="2">
        <f>E1-E12-H12-E15-E22-E27-E32</f>
        <v>-305.43999999994412</v>
      </c>
      <c r="F34" s="2"/>
      <c r="I34" s="5"/>
      <c r="J34" s="20"/>
    </row>
    <row r="35" spans="1:14" s="5" customFormat="1" x14ac:dyDescent="0.25">
      <c r="A35"/>
      <c r="B35"/>
      <c r="C35" s="3"/>
      <c r="D35"/>
      <c r="E35"/>
      <c r="F35"/>
      <c r="G35"/>
      <c r="H35"/>
      <c r="I35"/>
      <c r="J35" s="20"/>
      <c r="K35" s="20"/>
      <c r="L35" s="20"/>
      <c r="M35" s="20"/>
      <c r="N35" s="20"/>
    </row>
    <row r="36" spans="1:14" x14ac:dyDescent="0.25">
      <c r="C36" s="3"/>
    </row>
    <row r="37" spans="1:14" x14ac:dyDescent="0.25">
      <c r="C37" s="3"/>
    </row>
    <row r="38" spans="1:14" x14ac:dyDescent="0.25">
      <c r="C38" s="3"/>
    </row>
    <row r="39" spans="1:14" x14ac:dyDescent="0.25">
      <c r="C39" s="3"/>
    </row>
    <row r="40" spans="1:14" x14ac:dyDescent="0.25">
      <c r="C40" s="3"/>
    </row>
    <row r="41" spans="1:14" x14ac:dyDescent="0.25">
      <c r="C41" s="3"/>
    </row>
    <row r="42" spans="1:14" x14ac:dyDescent="0.25">
      <c r="C42" s="3"/>
    </row>
    <row r="43" spans="1:14" x14ac:dyDescent="0.25">
      <c r="C43" s="3"/>
    </row>
    <row r="44" spans="1:14" x14ac:dyDescent="0.25">
      <c r="C44" s="3"/>
    </row>
    <row r="45" spans="1:14" x14ac:dyDescent="0.25">
      <c r="C45" s="3"/>
    </row>
    <row r="46" spans="1:14" x14ac:dyDescent="0.25">
      <c r="C46" s="3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2014</oddHeader>
    <oddFooter>&amp;LVAPH - cel zorgregie&amp;C&amp;A&amp;R&amp;F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16" zoomScale="130" zoomScaleNormal="130" workbookViewId="0">
      <selection activeCell="G14" sqref="G14"/>
    </sheetView>
  </sheetViews>
  <sheetFormatPr defaultRowHeight="15" x14ac:dyDescent="0.25"/>
  <cols>
    <col min="1" max="1" width="31.28515625" bestFit="1" customWidth="1"/>
    <col min="2" max="2" width="10.5703125" bestFit="1" customWidth="1"/>
    <col min="3" max="3" width="9.85546875" style="2" bestFit="1" customWidth="1"/>
    <col min="5" max="5" width="12.5703125" customWidth="1"/>
    <col min="6" max="6" width="2.7109375" customWidth="1"/>
    <col min="7" max="7" width="20.85546875" customWidth="1"/>
    <col min="8" max="8" width="15.7109375" bestFit="1" customWidth="1"/>
    <col min="9" max="9" width="16.85546875" bestFit="1" customWidth="1"/>
    <col min="10" max="10" width="6" bestFit="1" customWidth="1"/>
    <col min="11" max="11" width="5" bestFit="1" customWidth="1"/>
    <col min="12" max="12" width="7" bestFit="1" customWidth="1"/>
  </cols>
  <sheetData>
    <row r="1" spans="1:9" x14ac:dyDescent="0.25">
      <c r="A1" s="4" t="s">
        <v>67</v>
      </c>
      <c r="D1" s="3"/>
      <c r="E1" s="7">
        <v>3716652</v>
      </c>
      <c r="F1" s="7"/>
    </row>
    <row r="2" spans="1:9" x14ac:dyDescent="0.25">
      <c r="A2" s="4"/>
      <c r="D2" s="3"/>
      <c r="E2" s="7"/>
      <c r="F2" s="7"/>
    </row>
    <row r="3" spans="1:9" x14ac:dyDescent="0.25">
      <c r="A3" s="4" t="s">
        <v>0</v>
      </c>
      <c r="B3" s="1"/>
      <c r="C3" s="10" t="s">
        <v>25</v>
      </c>
      <c r="D3" s="3" t="s">
        <v>6</v>
      </c>
      <c r="E3" s="4" t="s">
        <v>23</v>
      </c>
    </row>
    <row r="4" spans="1:9" x14ac:dyDescent="0.25">
      <c r="A4" s="5" t="s">
        <v>37</v>
      </c>
      <c r="B4" s="17"/>
      <c r="D4" s="3"/>
      <c r="E4" s="2">
        <v>0</v>
      </c>
      <c r="F4" s="2"/>
      <c r="G4" s="4"/>
    </row>
    <row r="5" spans="1:9" x14ac:dyDescent="0.25">
      <c r="A5" t="s">
        <v>8</v>
      </c>
      <c r="B5" s="17" t="s">
        <v>12</v>
      </c>
      <c r="C5" s="2">
        <v>27478</v>
      </c>
      <c r="D5" s="3">
        <v>3</v>
      </c>
      <c r="E5" s="2">
        <f t="shared" ref="E5:E10" si="0">C5*D5</f>
        <v>82434</v>
      </c>
      <c r="F5" s="2"/>
      <c r="G5" s="4" t="s">
        <v>68</v>
      </c>
    </row>
    <row r="6" spans="1:9" x14ac:dyDescent="0.25">
      <c r="B6" s="17">
        <v>1</v>
      </c>
      <c r="C6" s="2">
        <v>33476</v>
      </c>
      <c r="D6" s="3">
        <v>3</v>
      </c>
      <c r="E6" s="2">
        <f t="shared" si="0"/>
        <v>100428</v>
      </c>
      <c r="F6" s="2"/>
      <c r="G6" s="4" t="s">
        <v>68</v>
      </c>
    </row>
    <row r="7" spans="1:9" x14ac:dyDescent="0.25">
      <c r="A7" t="s">
        <v>31</v>
      </c>
      <c r="B7" s="17" t="s">
        <v>12</v>
      </c>
      <c r="C7" s="2">
        <v>51364</v>
      </c>
      <c r="D7" s="3">
        <v>1</v>
      </c>
      <c r="E7" s="2">
        <f t="shared" si="0"/>
        <v>51364</v>
      </c>
      <c r="F7" s="2"/>
      <c r="G7" s="4" t="s">
        <v>68</v>
      </c>
    </row>
    <row r="8" spans="1:9" x14ac:dyDescent="0.25">
      <c r="A8" t="s">
        <v>9</v>
      </c>
      <c r="B8" s="17" t="s">
        <v>12</v>
      </c>
      <c r="C8" s="2">
        <v>54138</v>
      </c>
      <c r="D8" s="3">
        <v>14</v>
      </c>
      <c r="E8" s="2">
        <f t="shared" ref="E8" si="1">C8*D8</f>
        <v>757932</v>
      </c>
      <c r="F8" s="2"/>
      <c r="G8" s="4" t="s">
        <v>69</v>
      </c>
    </row>
    <row r="9" spans="1:9" x14ac:dyDescent="0.25">
      <c r="A9" t="s">
        <v>10</v>
      </c>
      <c r="B9" s="17" t="s">
        <v>12</v>
      </c>
      <c r="C9" s="2">
        <v>62967</v>
      </c>
      <c r="D9" s="3">
        <v>6</v>
      </c>
      <c r="E9" s="2">
        <f t="shared" si="0"/>
        <v>377802</v>
      </c>
      <c r="F9" s="2"/>
      <c r="G9" s="4" t="s">
        <v>68</v>
      </c>
      <c r="H9" t="s">
        <v>39</v>
      </c>
      <c r="I9" t="s">
        <v>60</v>
      </c>
    </row>
    <row r="10" spans="1:9" x14ac:dyDescent="0.25">
      <c r="B10" s="17">
        <v>1</v>
      </c>
      <c r="C10" s="2">
        <v>70749</v>
      </c>
      <c r="D10" s="3">
        <v>10</v>
      </c>
      <c r="E10" s="2">
        <f t="shared" si="0"/>
        <v>707490</v>
      </c>
      <c r="F10" s="2"/>
      <c r="G10" s="4" t="s">
        <v>68</v>
      </c>
      <c r="H10" s="1">
        <v>0.2</v>
      </c>
      <c r="I10" s="1">
        <v>0.8</v>
      </c>
    </row>
    <row r="11" spans="1:9" x14ac:dyDescent="0.25">
      <c r="A11" s="5" t="s">
        <v>38</v>
      </c>
      <c r="B11" s="17"/>
      <c r="D11" s="3"/>
      <c r="E11" s="2">
        <f>SUM(E5:E10)</f>
        <v>2077450</v>
      </c>
      <c r="F11" s="2"/>
      <c r="G11" s="4"/>
      <c r="H11" s="23">
        <f>(E1-E12)*H10</f>
        <v>327840.40000000002</v>
      </c>
      <c r="I11" s="23">
        <f>(E1-E12)*I10</f>
        <v>1311361.6000000001</v>
      </c>
    </row>
    <row r="12" spans="1:9" x14ac:dyDescent="0.25">
      <c r="A12" s="4" t="s">
        <v>13</v>
      </c>
      <c r="D12" s="6">
        <f>SUM(D4:D10)</f>
        <v>37</v>
      </c>
      <c r="E12" s="7">
        <f>E4+E11</f>
        <v>2077450</v>
      </c>
      <c r="F12" s="7"/>
      <c r="G12" s="27" t="s">
        <v>61</v>
      </c>
      <c r="H12" s="23">
        <v>55102</v>
      </c>
    </row>
    <row r="13" spans="1:9" x14ac:dyDescent="0.25">
      <c r="A13" s="4"/>
      <c r="D13" s="6"/>
      <c r="E13" s="7"/>
      <c r="F13" s="7"/>
      <c r="G13" s="2"/>
    </row>
    <row r="14" spans="1:9" x14ac:dyDescent="0.25">
      <c r="A14" s="4" t="s">
        <v>14</v>
      </c>
      <c r="C14" s="2">
        <v>229.22</v>
      </c>
      <c r="D14" s="3">
        <v>476</v>
      </c>
      <c r="E14" s="2">
        <f t="shared" ref="E14" si="2">C14*D14</f>
        <v>109108.72</v>
      </c>
      <c r="F14" s="2"/>
      <c r="G14" t="s">
        <v>70</v>
      </c>
    </row>
    <row r="15" spans="1:9" x14ac:dyDescent="0.25">
      <c r="A15" s="32" t="s">
        <v>16</v>
      </c>
      <c r="B15" s="33"/>
      <c r="C15" s="26"/>
      <c r="D15" s="32">
        <f>SUM(D14:D14)</f>
        <v>476</v>
      </c>
      <c r="E15" s="19">
        <f>SUM(E14:E14)</f>
        <v>109108.72</v>
      </c>
      <c r="F15" s="7"/>
      <c r="H15" s="2">
        <f>E15</f>
        <v>109108.72</v>
      </c>
    </row>
    <row r="16" spans="1:9" x14ac:dyDescent="0.25">
      <c r="A16" s="4"/>
      <c r="D16" s="4"/>
      <c r="E16" s="7"/>
      <c r="F16" s="7"/>
      <c r="G16" s="2"/>
    </row>
    <row r="17" spans="1:9" x14ac:dyDescent="0.25">
      <c r="A17" s="4" t="s">
        <v>32</v>
      </c>
      <c r="B17" s="5"/>
      <c r="C17" s="12"/>
      <c r="D17" s="5"/>
      <c r="E17" s="12"/>
      <c r="F17" s="12"/>
      <c r="G17" s="12"/>
    </row>
    <row r="18" spans="1:9" x14ac:dyDescent="0.25">
      <c r="A18" s="5" t="s">
        <v>49</v>
      </c>
      <c r="B18" s="5"/>
      <c r="C18" s="2">
        <v>229.22</v>
      </c>
      <c r="D18" s="5">
        <v>0</v>
      </c>
      <c r="E18" s="2">
        <f t="shared" ref="E18:E21" si="3">C18*D18</f>
        <v>0</v>
      </c>
      <c r="F18" s="12"/>
      <c r="G18" s="12"/>
      <c r="H18" s="25">
        <f>(E18+E19+1/2*H15)/(H11-H12)</f>
        <v>0.20002449233404609</v>
      </c>
    </row>
    <row r="19" spans="1:9" x14ac:dyDescent="0.25">
      <c r="A19" s="5" t="s">
        <v>50</v>
      </c>
      <c r="B19" s="5"/>
      <c r="C19" s="12">
        <v>1000.81</v>
      </c>
      <c r="D19" s="5">
        <v>0</v>
      </c>
      <c r="E19" s="2">
        <f t="shared" si="3"/>
        <v>0</v>
      </c>
      <c r="F19" s="12"/>
      <c r="G19" s="12"/>
    </row>
    <row r="20" spans="1:9" x14ac:dyDescent="0.25">
      <c r="A20" s="5" t="s">
        <v>51</v>
      </c>
      <c r="B20" s="5"/>
      <c r="C20" s="2">
        <v>229.22</v>
      </c>
      <c r="D20" s="5">
        <v>0</v>
      </c>
      <c r="E20" s="2">
        <f t="shared" si="3"/>
        <v>0</v>
      </c>
      <c r="F20" s="12"/>
      <c r="G20" s="12"/>
      <c r="I20" s="25">
        <f>(E20+E21)/I11</f>
        <v>0.19999232896555755</v>
      </c>
    </row>
    <row r="21" spans="1:9" x14ac:dyDescent="0.25">
      <c r="A21" s="5" t="s">
        <v>52</v>
      </c>
      <c r="B21" s="5"/>
      <c r="C21" s="12">
        <v>1000.81</v>
      </c>
      <c r="D21" s="5">
        <f>25.47+4.52+25.88+18.39+7.22+4.83+18.51+52.41+52.41+52.41</f>
        <v>262.04999999999995</v>
      </c>
      <c r="E21" s="2">
        <f t="shared" si="3"/>
        <v>262262.26049999992</v>
      </c>
      <c r="F21" s="12"/>
      <c r="G21" s="12"/>
    </row>
    <row r="22" spans="1:9" x14ac:dyDescent="0.25">
      <c r="A22" s="4" t="s">
        <v>30</v>
      </c>
      <c r="D22" s="4"/>
      <c r="E22" s="7">
        <f>SUM(E18:E21)</f>
        <v>262262.26049999992</v>
      </c>
      <c r="F22" s="7"/>
      <c r="G22" s="7"/>
      <c r="H22" s="2"/>
    </row>
    <row r="23" spans="1:9" ht="12" customHeight="1" x14ac:dyDescent="0.25">
      <c r="A23" s="4"/>
      <c r="H23" s="1"/>
    </row>
    <row r="24" spans="1:9" x14ac:dyDescent="0.25">
      <c r="A24" s="4" t="s">
        <v>53</v>
      </c>
      <c r="B24" s="1"/>
      <c r="E24" s="19"/>
      <c r="F24" s="7"/>
      <c r="G24" s="12"/>
      <c r="H24" s="2"/>
      <c r="I24" s="5"/>
    </row>
    <row r="25" spans="1:9" x14ac:dyDescent="0.25">
      <c r="A25" s="5" t="s">
        <v>54</v>
      </c>
      <c r="B25" s="13"/>
      <c r="C25" s="12"/>
      <c r="D25" s="5"/>
      <c r="E25" s="26">
        <v>81822</v>
      </c>
      <c r="F25" s="12"/>
      <c r="G25" s="12"/>
      <c r="H25" s="34">
        <f>E25/(H11-H12)</f>
        <v>0.30000175992819489</v>
      </c>
      <c r="I25" s="5"/>
    </row>
    <row r="26" spans="1:9" x14ac:dyDescent="0.25">
      <c r="A26" s="5" t="s">
        <v>55</v>
      </c>
      <c r="B26" s="13"/>
      <c r="C26" s="12"/>
      <c r="D26" s="5"/>
      <c r="E26" s="26">
        <v>524545</v>
      </c>
      <c r="F26" s="12"/>
      <c r="G26" s="12"/>
      <c r="H26" s="26"/>
      <c r="I26" s="14">
        <f>E26/I11</f>
        <v>0.40000027452382314</v>
      </c>
    </row>
    <row r="27" spans="1:9" x14ac:dyDescent="0.25">
      <c r="A27" s="4" t="s">
        <v>56</v>
      </c>
      <c r="B27" s="1"/>
      <c r="E27" s="19">
        <f>SUM(E25:E26)</f>
        <v>606367</v>
      </c>
      <c r="F27" s="7"/>
      <c r="G27" s="12"/>
      <c r="H27" s="26"/>
      <c r="I27" s="5"/>
    </row>
    <row r="28" spans="1:9" ht="11.25" customHeight="1" x14ac:dyDescent="0.25">
      <c r="H28" s="35"/>
      <c r="I28" s="5"/>
    </row>
    <row r="29" spans="1:9" x14ac:dyDescent="0.25">
      <c r="A29" s="4" t="s">
        <v>17</v>
      </c>
      <c r="E29" s="19"/>
      <c r="F29" s="7"/>
      <c r="G29" s="9"/>
      <c r="H29" s="26"/>
      <c r="I29" s="15"/>
    </row>
    <row r="30" spans="1:9" x14ac:dyDescent="0.25">
      <c r="A30" s="5" t="s">
        <v>57</v>
      </c>
      <c r="B30" s="5"/>
      <c r="C30" s="12"/>
      <c r="D30" s="5"/>
      <c r="E30" s="26">
        <v>81822</v>
      </c>
      <c r="F30" s="12"/>
      <c r="G30" s="9"/>
      <c r="H30" s="34">
        <f>(E30+1/2*H15)/(H11-H12)</f>
        <v>0.50002625226224096</v>
      </c>
      <c r="I30" s="15"/>
    </row>
    <row r="31" spans="1:9" x14ac:dyDescent="0.25">
      <c r="A31" s="5" t="s">
        <v>58</v>
      </c>
      <c r="B31" s="5"/>
      <c r="C31" s="12"/>
      <c r="D31" s="5"/>
      <c r="E31" s="26">
        <v>524545</v>
      </c>
      <c r="F31" s="12"/>
      <c r="G31" s="9"/>
      <c r="H31" s="2"/>
      <c r="I31" s="14">
        <f>E31/I11</f>
        <v>0.40000027452382314</v>
      </c>
    </row>
    <row r="32" spans="1:9" x14ac:dyDescent="0.25">
      <c r="A32" s="4" t="s">
        <v>59</v>
      </c>
      <c r="E32" s="19">
        <f>SUM(E30:E31)</f>
        <v>606367</v>
      </c>
      <c r="F32" s="7"/>
      <c r="G32" s="9"/>
      <c r="H32" s="2"/>
      <c r="I32" s="15"/>
    </row>
    <row r="33" spans="1:14" ht="12" customHeight="1" x14ac:dyDescent="0.25">
      <c r="H33" s="1"/>
      <c r="I33" s="5"/>
      <c r="J33" s="20"/>
    </row>
    <row r="34" spans="1:14" s="5" customFormat="1" x14ac:dyDescent="0.25">
      <c r="A34" t="s">
        <v>19</v>
      </c>
      <c r="B34"/>
      <c r="C34" s="2"/>
      <c r="D34"/>
      <c r="E34" s="2">
        <f>E1-E12-H12-E15-E22-E27-E32</f>
        <v>-4.9804999998304993</v>
      </c>
      <c r="F34" s="2"/>
      <c r="G34"/>
      <c r="H34"/>
      <c r="J34" s="20"/>
      <c r="K34" s="20"/>
      <c r="L34" s="20"/>
      <c r="M34" s="20"/>
      <c r="N34" s="20"/>
    </row>
    <row r="35" spans="1:14" x14ac:dyDescent="0.25">
      <c r="C35" s="3"/>
    </row>
    <row r="36" spans="1:14" x14ac:dyDescent="0.25">
      <c r="C36" s="3"/>
    </row>
    <row r="37" spans="1:14" x14ac:dyDescent="0.25">
      <c r="C37" s="3"/>
    </row>
    <row r="38" spans="1:14" x14ac:dyDescent="0.25">
      <c r="C38" s="3"/>
    </row>
    <row r="39" spans="1:14" x14ac:dyDescent="0.25">
      <c r="C39" s="3"/>
    </row>
    <row r="40" spans="1:14" x14ac:dyDescent="0.25">
      <c r="C40" s="3"/>
    </row>
    <row r="41" spans="1:14" x14ac:dyDescent="0.25">
      <c r="C41" s="3"/>
    </row>
    <row r="42" spans="1:14" x14ac:dyDescent="0.25">
      <c r="C42" s="3"/>
    </row>
    <row r="43" spans="1:14" x14ac:dyDescent="0.25">
      <c r="C43" s="3"/>
    </row>
    <row r="44" spans="1:14" x14ac:dyDescent="0.25">
      <c r="C44" s="3"/>
    </row>
    <row r="45" spans="1:14" x14ac:dyDescent="0.25">
      <c r="C45" s="3"/>
    </row>
    <row r="46" spans="1:14" x14ac:dyDescent="0.25">
      <c r="C46" s="3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2014</oddHeader>
    <oddFooter>&amp;LVAPH - cel zorgregie&amp;C&amp;A&amp;R&amp;F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3" zoomScale="130" zoomScaleNormal="130"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9.85546875" style="2" bestFit="1" customWidth="1"/>
    <col min="5" max="5" width="12.5703125" customWidth="1"/>
    <col min="6" max="6" width="2.7109375" customWidth="1"/>
    <col min="7" max="7" width="20.85546875" customWidth="1"/>
    <col min="8" max="8" width="15.7109375" bestFit="1" customWidth="1"/>
    <col min="9" max="9" width="16.85546875" bestFit="1" customWidth="1"/>
    <col min="10" max="10" width="6" bestFit="1" customWidth="1"/>
    <col min="11" max="11" width="5" bestFit="1" customWidth="1"/>
    <col min="12" max="12" width="7" bestFit="1" customWidth="1"/>
  </cols>
  <sheetData>
    <row r="1" spans="1:9" x14ac:dyDescent="0.25">
      <c r="A1" s="4" t="s">
        <v>20</v>
      </c>
      <c r="D1" s="3"/>
      <c r="E1" s="7">
        <v>2689851</v>
      </c>
      <c r="F1" s="7"/>
    </row>
    <row r="2" spans="1:9" x14ac:dyDescent="0.25">
      <c r="A2" s="4"/>
      <c r="D2" s="3"/>
      <c r="E2" s="7"/>
      <c r="F2" s="7"/>
    </row>
    <row r="3" spans="1:9" x14ac:dyDescent="0.25">
      <c r="A3" s="4" t="s">
        <v>0</v>
      </c>
      <c r="B3" s="1"/>
      <c r="C3" s="10" t="s">
        <v>25</v>
      </c>
      <c r="D3" s="3" t="s">
        <v>6</v>
      </c>
      <c r="E3" s="4" t="s">
        <v>23</v>
      </c>
    </row>
    <row r="4" spans="1:9" x14ac:dyDescent="0.25">
      <c r="A4" t="s">
        <v>7</v>
      </c>
      <c r="B4" s="17">
        <v>1</v>
      </c>
      <c r="C4" s="2">
        <v>60911</v>
      </c>
      <c r="D4" s="3">
        <v>2</v>
      </c>
      <c r="E4" s="2">
        <f t="shared" ref="E4:E7" si="0">C4*D4</f>
        <v>121822</v>
      </c>
      <c r="F4" s="2"/>
      <c r="G4" s="5" t="s">
        <v>34</v>
      </c>
    </row>
    <row r="5" spans="1:9" x14ac:dyDescent="0.25">
      <c r="A5" t="s">
        <v>35</v>
      </c>
      <c r="B5" s="17">
        <v>1</v>
      </c>
      <c r="C5" s="2">
        <v>43119</v>
      </c>
      <c r="D5" s="3">
        <v>6</v>
      </c>
      <c r="E5" s="2">
        <f t="shared" ref="E5" si="1">C5*D5</f>
        <v>258714</v>
      </c>
      <c r="F5" s="2"/>
      <c r="G5" s="4" t="s">
        <v>36</v>
      </c>
    </row>
    <row r="6" spans="1:9" x14ac:dyDescent="0.25">
      <c r="A6" s="5" t="s">
        <v>37</v>
      </c>
      <c r="B6" s="17"/>
      <c r="D6" s="3"/>
      <c r="E6" s="2">
        <f>SUM(E4:E5)</f>
        <v>380536</v>
      </c>
      <c r="F6" s="2"/>
      <c r="G6" s="4"/>
    </row>
    <row r="7" spans="1:9" x14ac:dyDescent="0.25">
      <c r="A7" t="s">
        <v>31</v>
      </c>
      <c r="B7" s="17">
        <v>1</v>
      </c>
      <c r="C7" s="2">
        <v>66989</v>
      </c>
      <c r="D7" s="3">
        <v>4</v>
      </c>
      <c r="E7" s="2">
        <f t="shared" si="0"/>
        <v>267956</v>
      </c>
      <c r="F7" s="2"/>
      <c r="G7" s="4" t="s">
        <v>33</v>
      </c>
      <c r="H7" t="s">
        <v>39</v>
      </c>
      <c r="I7" t="s">
        <v>60</v>
      </c>
    </row>
    <row r="8" spans="1:9" x14ac:dyDescent="0.25">
      <c r="A8" t="s">
        <v>10</v>
      </c>
      <c r="B8" s="17">
        <v>1</v>
      </c>
      <c r="C8" s="2">
        <v>70749</v>
      </c>
      <c r="D8" s="3">
        <v>6</v>
      </c>
      <c r="E8" s="2">
        <f t="shared" ref="E8" si="2">C8*D8</f>
        <v>424494</v>
      </c>
      <c r="F8" s="2"/>
      <c r="G8" s="4" t="s">
        <v>33</v>
      </c>
      <c r="H8" s="1">
        <v>0.2</v>
      </c>
      <c r="I8" s="1">
        <v>0.8</v>
      </c>
    </row>
    <row r="9" spans="1:9" x14ac:dyDescent="0.25">
      <c r="A9" s="5" t="s">
        <v>38</v>
      </c>
      <c r="B9" s="17"/>
      <c r="D9" s="3"/>
      <c r="E9" s="2">
        <f>SUM(E7:E8)</f>
        <v>692450</v>
      </c>
      <c r="F9" s="2"/>
      <c r="G9" s="4"/>
      <c r="H9" s="23">
        <f>(E1-E10)*H8</f>
        <v>323373</v>
      </c>
      <c r="I9" s="23">
        <f>(E1-E10)*I8</f>
        <v>1293492</v>
      </c>
    </row>
    <row r="10" spans="1:9" x14ac:dyDescent="0.25">
      <c r="A10" s="4" t="s">
        <v>13</v>
      </c>
      <c r="D10" s="6">
        <f>SUM(D4:D8)</f>
        <v>18</v>
      </c>
      <c r="E10" s="7">
        <f>E6+E9</f>
        <v>1072986</v>
      </c>
      <c r="F10" s="7"/>
      <c r="G10" s="27" t="s">
        <v>61</v>
      </c>
      <c r="H10" s="23">
        <v>39875</v>
      </c>
    </row>
    <row r="11" spans="1:9" x14ac:dyDescent="0.25">
      <c r="A11" s="4"/>
      <c r="D11" s="6"/>
      <c r="E11" s="7"/>
      <c r="F11" s="7"/>
      <c r="G11" s="2"/>
    </row>
    <row r="12" spans="1:9" x14ac:dyDescent="0.25">
      <c r="A12" s="4" t="s">
        <v>14</v>
      </c>
      <c r="B12" t="s">
        <v>15</v>
      </c>
      <c r="C12" s="2">
        <v>229.22</v>
      </c>
      <c r="D12" s="3">
        <v>250</v>
      </c>
      <c r="E12" s="2">
        <f t="shared" ref="E12" si="3">C12*D12</f>
        <v>57305</v>
      </c>
      <c r="F12" s="2"/>
      <c r="G12" s="10" t="s">
        <v>15</v>
      </c>
    </row>
    <row r="13" spans="1:9" x14ac:dyDescent="0.25">
      <c r="A13" s="4" t="s">
        <v>16</v>
      </c>
      <c r="D13" s="4">
        <f>SUM(D12:D12)</f>
        <v>250</v>
      </c>
      <c r="E13" s="7">
        <f>SUM(E12:E12)</f>
        <v>57305</v>
      </c>
      <c r="F13" s="7"/>
      <c r="H13" s="2">
        <f>E13</f>
        <v>57305</v>
      </c>
    </row>
    <row r="14" spans="1:9" x14ac:dyDescent="0.25">
      <c r="A14" s="4"/>
      <c r="D14" s="4"/>
      <c r="E14" s="7"/>
      <c r="F14" s="7"/>
      <c r="G14" s="2"/>
    </row>
    <row r="15" spans="1:9" x14ac:dyDescent="0.25">
      <c r="A15" s="4" t="s">
        <v>32</v>
      </c>
      <c r="B15" s="5"/>
      <c r="C15" s="12"/>
      <c r="D15" s="5"/>
      <c r="E15" s="12"/>
      <c r="F15" s="12"/>
      <c r="G15" s="12"/>
    </row>
    <row r="16" spans="1:9" x14ac:dyDescent="0.25">
      <c r="A16" s="5" t="s">
        <v>49</v>
      </c>
      <c r="B16" s="5"/>
      <c r="C16" s="2">
        <v>229.22</v>
      </c>
      <c r="D16" s="5">
        <v>22</v>
      </c>
      <c r="E16" s="2">
        <f t="shared" ref="E16:E19" si="4">C16*D16</f>
        <v>5042.84</v>
      </c>
      <c r="F16" s="12"/>
      <c r="G16" s="12"/>
      <c r="H16" s="25">
        <f>(E16+E17+1/2*H13)/(H9-H10)</f>
        <v>0.19980357286471156</v>
      </c>
    </row>
    <row r="17" spans="1:14" x14ac:dyDescent="0.25">
      <c r="A17" s="5" t="s">
        <v>50</v>
      </c>
      <c r="B17" s="5"/>
      <c r="C17" s="12">
        <v>1000.81</v>
      </c>
      <c r="D17" s="5">
        <v>22.93</v>
      </c>
      <c r="E17" s="2">
        <f t="shared" si="4"/>
        <v>22948.5733</v>
      </c>
      <c r="F17" s="12"/>
      <c r="G17" s="12"/>
    </row>
    <row r="18" spans="1:14" x14ac:dyDescent="0.25">
      <c r="A18" s="5" t="s">
        <v>51</v>
      </c>
      <c r="B18" s="5"/>
      <c r="C18" s="2">
        <v>229.22</v>
      </c>
      <c r="D18" s="5">
        <v>205</v>
      </c>
      <c r="E18" s="2">
        <f t="shared" si="4"/>
        <v>46990.1</v>
      </c>
      <c r="F18" s="12"/>
      <c r="G18" s="12"/>
      <c r="I18" s="25">
        <f>(E18+E19)/I9</f>
        <v>0.19995593231345848</v>
      </c>
    </row>
    <row r="19" spans="1:14" x14ac:dyDescent="0.25">
      <c r="A19" s="5" t="s">
        <v>52</v>
      </c>
      <c r="B19" s="5"/>
      <c r="C19" s="12">
        <v>1000.81</v>
      </c>
      <c r="D19" s="5">
        <f>78.01+51.16+43.07+39.24</f>
        <v>211.48000000000002</v>
      </c>
      <c r="E19" s="2">
        <f t="shared" si="4"/>
        <v>211651.29880000002</v>
      </c>
      <c r="F19" s="12"/>
      <c r="G19" s="12"/>
    </row>
    <row r="20" spans="1:14" x14ac:dyDescent="0.25">
      <c r="A20" s="4" t="s">
        <v>30</v>
      </c>
      <c r="D20" s="4"/>
      <c r="E20" s="7">
        <f>SUM(E16:E19)</f>
        <v>286632.81209999998</v>
      </c>
      <c r="F20" s="7"/>
      <c r="G20" s="7"/>
      <c r="H20" s="2"/>
    </row>
    <row r="21" spans="1:14" x14ac:dyDescent="0.25">
      <c r="A21" s="4"/>
      <c r="H21" s="1"/>
    </row>
    <row r="22" spans="1:14" x14ac:dyDescent="0.25">
      <c r="A22" s="4" t="s">
        <v>53</v>
      </c>
      <c r="B22" s="1"/>
      <c r="E22" s="19"/>
      <c r="F22" s="7"/>
      <c r="G22" s="12"/>
      <c r="H22" s="2"/>
      <c r="I22" s="5"/>
    </row>
    <row r="23" spans="1:14" x14ac:dyDescent="0.25">
      <c r="A23" s="5" t="s">
        <v>54</v>
      </c>
      <c r="B23" s="13"/>
      <c r="C23" s="12"/>
      <c r="D23" s="5"/>
      <c r="E23" s="26">
        <v>113399</v>
      </c>
      <c r="F23" s="12"/>
      <c r="G23" s="12"/>
      <c r="H23" s="25">
        <f>E23/(H9-H10)</f>
        <v>0.39999929452765098</v>
      </c>
      <c r="I23" s="5"/>
    </row>
    <row r="24" spans="1:14" x14ac:dyDescent="0.25">
      <c r="A24" s="5" t="s">
        <v>55</v>
      </c>
      <c r="B24" s="13"/>
      <c r="C24" s="12"/>
      <c r="D24" s="5"/>
      <c r="E24" s="26">
        <v>517397</v>
      </c>
      <c r="F24" s="12"/>
      <c r="G24" s="12"/>
      <c r="H24" s="2"/>
      <c r="I24" s="14">
        <f>E24/I9</f>
        <v>0.40000015462020638</v>
      </c>
    </row>
    <row r="25" spans="1:14" x14ac:dyDescent="0.25">
      <c r="A25" s="4" t="s">
        <v>56</v>
      </c>
      <c r="B25" s="1"/>
      <c r="E25" s="19">
        <f>SUM(E23:E24)</f>
        <v>630796</v>
      </c>
      <c r="F25" s="7"/>
      <c r="G25" s="12"/>
      <c r="H25" s="2"/>
      <c r="I25" s="5"/>
    </row>
    <row r="26" spans="1:14" x14ac:dyDescent="0.25">
      <c r="H26" s="1"/>
      <c r="I26" s="5"/>
    </row>
    <row r="27" spans="1:14" x14ac:dyDescent="0.25">
      <c r="A27" s="4" t="s">
        <v>17</v>
      </c>
      <c r="E27" s="19"/>
      <c r="F27" s="7"/>
      <c r="G27" s="9"/>
      <c r="H27" s="2"/>
      <c r="I27" s="15"/>
    </row>
    <row r="28" spans="1:14" x14ac:dyDescent="0.25">
      <c r="A28" s="5" t="s">
        <v>57</v>
      </c>
      <c r="B28" s="5"/>
      <c r="C28" s="12"/>
      <c r="D28" s="5"/>
      <c r="E28" s="26">
        <v>84747</v>
      </c>
      <c r="F28" s="12"/>
      <c r="G28" s="9"/>
      <c r="H28" s="25">
        <f>(E28+1/2*H13)/(H9-H10)</f>
        <v>0.4000010582085235</v>
      </c>
      <c r="I28" s="15"/>
    </row>
    <row r="29" spans="1:14" x14ac:dyDescent="0.25">
      <c r="A29" s="5" t="s">
        <v>58</v>
      </c>
      <c r="B29" s="5"/>
      <c r="C29" s="12"/>
      <c r="D29" s="5"/>
      <c r="E29" s="26">
        <v>517397</v>
      </c>
      <c r="F29" s="12"/>
      <c r="G29" s="9"/>
      <c r="H29" s="2"/>
      <c r="I29" s="14">
        <f>E29/I9</f>
        <v>0.40000015462020638</v>
      </c>
    </row>
    <row r="30" spans="1:14" x14ac:dyDescent="0.25">
      <c r="A30" s="4" t="s">
        <v>59</v>
      </c>
      <c r="E30" s="19">
        <f>SUM(E28:E29)</f>
        <v>602144</v>
      </c>
      <c r="F30" s="7"/>
      <c r="G30" s="9"/>
      <c r="H30" s="2"/>
      <c r="I30" s="15"/>
    </row>
    <row r="31" spans="1:14" x14ac:dyDescent="0.25">
      <c r="H31" s="1"/>
      <c r="I31" s="5"/>
      <c r="J31" s="20"/>
    </row>
    <row r="32" spans="1:14" s="5" customFormat="1" x14ac:dyDescent="0.25">
      <c r="A32" t="s">
        <v>19</v>
      </c>
      <c r="B32"/>
      <c r="C32" s="2"/>
      <c r="D32"/>
      <c r="E32" s="2">
        <f>E1-E10-H10-E13-E20-E25-E30</f>
        <v>112.187900000019</v>
      </c>
      <c r="F32" s="2"/>
      <c r="G32"/>
      <c r="H32"/>
      <c r="J32" s="20"/>
      <c r="K32" s="20"/>
      <c r="L32" s="20"/>
      <c r="M32" s="20"/>
      <c r="N32" s="20"/>
    </row>
    <row r="33" spans="3:3" x14ac:dyDescent="0.25">
      <c r="C33" s="3"/>
    </row>
    <row r="34" spans="3:3" x14ac:dyDescent="0.25">
      <c r="C34" s="3"/>
    </row>
    <row r="35" spans="3:3" x14ac:dyDescent="0.25">
      <c r="C35" s="3"/>
    </row>
    <row r="36" spans="3:3" x14ac:dyDescent="0.25">
      <c r="C36" s="3"/>
    </row>
    <row r="37" spans="3:3" x14ac:dyDescent="0.25">
      <c r="C37" s="3"/>
    </row>
    <row r="38" spans="3:3" x14ac:dyDescent="0.25">
      <c r="C38" s="3"/>
    </row>
    <row r="39" spans="3:3" x14ac:dyDescent="0.25">
      <c r="C39" s="3"/>
    </row>
    <row r="40" spans="3:3" x14ac:dyDescent="0.25">
      <c r="C40" s="3"/>
    </row>
    <row r="41" spans="3:3" x14ac:dyDescent="0.25">
      <c r="C41" s="3"/>
    </row>
    <row r="42" spans="3:3" x14ac:dyDescent="0.25">
      <c r="C42" s="3"/>
    </row>
    <row r="43" spans="3:3" x14ac:dyDescent="0.25">
      <c r="C43" s="3"/>
    </row>
    <row r="44" spans="3:3" x14ac:dyDescent="0.25">
      <c r="C44" s="3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2014</oddHeader>
    <oddFooter>&amp;LVAPH - cel zorgregie&amp;C&amp;A&amp;R&amp;F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Vlaanderen Globaal</vt:lpstr>
      <vt:lpstr>Minder- en meerderjarigen</vt:lpstr>
      <vt:lpstr>Antwerpen</vt:lpstr>
      <vt:lpstr>Limburg</vt:lpstr>
      <vt:lpstr>Oost-Vlaanderen</vt:lpstr>
      <vt:lpstr>Vlaams-Brabant en Brussel</vt:lpstr>
      <vt:lpstr>West-Vlaanderen</vt:lpstr>
    </vt:vector>
  </TitlesOfParts>
  <Company>VAPH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Janick Appelmans</dc:creator>
  <cp:lastModifiedBy>Janick Appelmans</cp:lastModifiedBy>
  <cp:lastPrinted>2014-02-18T11:20:26Z</cp:lastPrinted>
  <dcterms:created xsi:type="dcterms:W3CDTF">2012-01-05T08:03:23Z</dcterms:created>
  <dcterms:modified xsi:type="dcterms:W3CDTF">2014-02-18T11:23:38Z</dcterms:modified>
</cp:coreProperties>
</file>