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19 Steven\Barema's\KO\"/>
    </mc:Choice>
  </mc:AlternateContent>
  <bookViews>
    <workbookView xWindow="90" yWindow="45" windowWidth="19980" windowHeight="9210"/>
  </bookViews>
  <sheets>
    <sheet name="MV1bis" sheetId="1" r:id="rId1"/>
  </sheets>
  <calcPr calcId="162913"/>
</workbook>
</file>

<file path=xl/calcChain.xml><?xml version="1.0" encoding="utf-8"?>
<calcChain xmlns="http://schemas.openxmlformats.org/spreadsheetml/2006/main">
  <c r="W3" i="1" l="1"/>
  <c r="F8" i="1" l="1"/>
  <c r="J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W2" i="1" l="1"/>
  <c r="H6" i="1" l="1"/>
  <c r="H33" i="1" l="1"/>
  <c r="H30" i="1"/>
  <c r="H27" i="1"/>
  <c r="H24" i="1"/>
  <c r="H21" i="1"/>
  <c r="H18" i="1"/>
  <c r="H15" i="1"/>
  <c r="H12" i="1"/>
  <c r="H9" i="1"/>
  <c r="H35" i="1"/>
  <c r="H10" i="1" l="1"/>
  <c r="H13" i="1"/>
  <c r="H16" i="1"/>
  <c r="H19" i="1"/>
  <c r="H22" i="1"/>
  <c r="H25" i="1"/>
  <c r="H28" i="1"/>
  <c r="H31" i="1"/>
  <c r="H34" i="1"/>
  <c r="H8" i="1"/>
  <c r="D8" i="1" s="1"/>
  <c r="H11" i="1"/>
  <c r="H14" i="1"/>
  <c r="H17" i="1"/>
  <c r="H20" i="1"/>
  <c r="H23" i="1"/>
  <c r="H26" i="1"/>
  <c r="H29" i="1"/>
  <c r="H32" i="1"/>
  <c r="J9" i="1"/>
  <c r="K9" i="1" s="1"/>
  <c r="L9" i="1"/>
  <c r="M9" i="1" s="1"/>
  <c r="J10" i="1"/>
  <c r="K10" i="1" s="1"/>
  <c r="L10" i="1"/>
  <c r="M10" i="1" s="1"/>
  <c r="J11" i="1"/>
  <c r="K11" i="1" s="1"/>
  <c r="L11" i="1"/>
  <c r="M11" i="1" s="1"/>
  <c r="J12" i="1"/>
  <c r="K12" i="1" s="1"/>
  <c r="L12" i="1"/>
  <c r="M12" i="1" s="1"/>
  <c r="J13" i="1"/>
  <c r="K13" i="1" s="1"/>
  <c r="L13" i="1"/>
  <c r="M13" i="1" s="1"/>
  <c r="J14" i="1"/>
  <c r="K14" i="1" s="1"/>
  <c r="L14" i="1"/>
  <c r="M14" i="1" s="1"/>
  <c r="J15" i="1"/>
  <c r="K15" i="1" s="1"/>
  <c r="L15" i="1"/>
  <c r="M15" i="1" s="1"/>
  <c r="J16" i="1"/>
  <c r="K16" i="1" s="1"/>
  <c r="L16" i="1"/>
  <c r="M16" i="1" s="1"/>
  <c r="J17" i="1"/>
  <c r="K17" i="1" s="1"/>
  <c r="L17" i="1"/>
  <c r="M17" i="1" s="1"/>
  <c r="J18" i="1"/>
  <c r="K18" i="1" s="1"/>
  <c r="L18" i="1"/>
  <c r="M18" i="1" s="1"/>
  <c r="J19" i="1"/>
  <c r="K19" i="1" s="1"/>
  <c r="L19" i="1"/>
  <c r="M19" i="1" s="1"/>
  <c r="J20" i="1"/>
  <c r="K20" i="1" s="1"/>
  <c r="L20" i="1"/>
  <c r="M20" i="1" s="1"/>
  <c r="J21" i="1"/>
  <c r="K21" i="1" s="1"/>
  <c r="L21" i="1"/>
  <c r="M21" i="1" s="1"/>
  <c r="J22" i="1"/>
  <c r="K22" i="1" s="1"/>
  <c r="L22" i="1"/>
  <c r="M22" i="1" s="1"/>
  <c r="J23" i="1"/>
  <c r="K23" i="1" s="1"/>
  <c r="L23" i="1"/>
  <c r="M23" i="1" s="1"/>
  <c r="J24" i="1"/>
  <c r="K24" i="1" s="1"/>
  <c r="L24" i="1"/>
  <c r="M24" i="1" s="1"/>
  <c r="J25" i="1"/>
  <c r="K25" i="1" s="1"/>
  <c r="L25" i="1"/>
  <c r="M25" i="1" s="1"/>
  <c r="J26" i="1"/>
  <c r="K26" i="1" s="1"/>
  <c r="L26" i="1"/>
  <c r="M26" i="1" s="1"/>
  <c r="J27" i="1"/>
  <c r="K27" i="1" s="1"/>
  <c r="L27" i="1"/>
  <c r="M27" i="1" s="1"/>
  <c r="J28" i="1"/>
  <c r="K28" i="1" s="1"/>
  <c r="L28" i="1"/>
  <c r="M28" i="1" s="1"/>
  <c r="J29" i="1"/>
  <c r="K29" i="1" s="1"/>
  <c r="L29" i="1"/>
  <c r="M29" i="1" s="1"/>
  <c r="J30" i="1"/>
  <c r="K30" i="1" s="1"/>
  <c r="L30" i="1"/>
  <c r="M30" i="1" s="1"/>
  <c r="J31" i="1"/>
  <c r="K31" i="1" s="1"/>
  <c r="L31" i="1"/>
  <c r="M31" i="1" s="1"/>
  <c r="J32" i="1"/>
  <c r="K32" i="1" s="1"/>
  <c r="L32" i="1"/>
  <c r="M32" i="1" s="1"/>
  <c r="J33" i="1"/>
  <c r="K33" i="1" s="1"/>
  <c r="L33" i="1"/>
  <c r="M33" i="1" s="1"/>
  <c r="J34" i="1"/>
  <c r="K34" i="1" s="1"/>
  <c r="L34" i="1"/>
  <c r="M34" i="1" s="1"/>
  <c r="J35" i="1"/>
  <c r="K35" i="1" s="1"/>
  <c r="L35" i="1"/>
  <c r="M35" i="1" s="1"/>
  <c r="L8" i="1"/>
  <c r="D16" i="1" l="1"/>
  <c r="D20" i="1"/>
  <c r="D24" i="1"/>
  <c r="D28" i="1"/>
  <c r="D32" i="1"/>
  <c r="D17" i="1"/>
  <c r="D21" i="1"/>
  <c r="D25" i="1"/>
  <c r="D29" i="1"/>
  <c r="D33" i="1"/>
  <c r="D18" i="1"/>
  <c r="D22" i="1"/>
  <c r="D26" i="1"/>
  <c r="D30" i="1"/>
  <c r="D34" i="1"/>
  <c r="D15" i="1"/>
  <c r="D19" i="1"/>
  <c r="D23" i="1"/>
  <c r="D27" i="1"/>
  <c r="D31" i="1"/>
  <c r="D35" i="1"/>
  <c r="D13" i="1"/>
  <c r="D10" i="1"/>
  <c r="D12" i="1"/>
  <c r="D9" i="1"/>
  <c r="D14" i="1"/>
  <c r="D11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V12" i="1" l="1"/>
  <c r="N14" i="1"/>
  <c r="N16" i="1"/>
  <c r="R16" i="1" s="1"/>
  <c r="N18" i="1"/>
  <c r="N3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V14" i="1" l="1"/>
  <c r="T27" i="1"/>
  <c r="U27" i="1" s="1"/>
  <c r="P16" i="1"/>
  <c r="N12" i="1"/>
  <c r="V32" i="1"/>
  <c r="P14" i="1"/>
  <c r="R14" i="1"/>
  <c r="V34" i="1"/>
  <c r="N34" i="1"/>
  <c r="P18" i="1"/>
  <c r="R18" i="1"/>
  <c r="T32" i="1"/>
  <c r="U32" i="1" s="1"/>
  <c r="V26" i="1"/>
  <c r="N26" i="1"/>
  <c r="V18" i="1"/>
  <c r="N8" i="1"/>
  <c r="V8" i="1"/>
  <c r="V30" i="1"/>
  <c r="N30" i="1"/>
  <c r="V22" i="1"/>
  <c r="N22" i="1"/>
  <c r="V16" i="1"/>
  <c r="T22" i="1"/>
  <c r="U22" i="1" s="1"/>
  <c r="P32" i="1"/>
  <c r="R32" i="1"/>
  <c r="N28" i="1"/>
  <c r="V28" i="1"/>
  <c r="V24" i="1"/>
  <c r="N24" i="1"/>
  <c r="N20" i="1"/>
  <c r="V20" i="1"/>
  <c r="M8" i="1"/>
  <c r="T26" i="1"/>
  <c r="U26" i="1" s="1"/>
  <c r="T30" i="1"/>
  <c r="U30" i="1" s="1"/>
  <c r="T25" i="1"/>
  <c r="U25" i="1" s="1"/>
  <c r="T13" i="1"/>
  <c r="U13" i="1" s="1"/>
  <c r="K8" i="1"/>
  <c r="T17" i="1" l="1"/>
  <c r="U17" i="1" s="1"/>
  <c r="T33" i="1"/>
  <c r="U33" i="1" s="1"/>
  <c r="T14" i="1"/>
  <c r="U14" i="1" s="1"/>
  <c r="T19" i="1"/>
  <c r="U19" i="1" s="1"/>
  <c r="T24" i="1"/>
  <c r="U24" i="1" s="1"/>
  <c r="T10" i="1"/>
  <c r="U10" i="1" s="1"/>
  <c r="T8" i="1"/>
  <c r="U8" i="1" s="1"/>
  <c r="T15" i="1"/>
  <c r="U15" i="1" s="1"/>
  <c r="T28" i="1"/>
  <c r="U28" i="1" s="1"/>
  <c r="R12" i="1"/>
  <c r="P12" i="1"/>
  <c r="T31" i="1"/>
  <c r="U31" i="1" s="1"/>
  <c r="T23" i="1"/>
  <c r="U23" i="1" s="1"/>
  <c r="T34" i="1"/>
  <c r="U34" i="1" s="1"/>
  <c r="T11" i="1"/>
  <c r="U11" i="1" s="1"/>
  <c r="T35" i="1"/>
  <c r="U35" i="1" s="1"/>
  <c r="N13" i="1"/>
  <c r="V13" i="1"/>
  <c r="T9" i="1"/>
  <c r="U9" i="1" s="1"/>
  <c r="V35" i="1"/>
  <c r="N35" i="1"/>
  <c r="V33" i="1"/>
  <c r="N33" i="1"/>
  <c r="V25" i="1"/>
  <c r="N25" i="1"/>
  <c r="N17" i="1"/>
  <c r="V17" i="1"/>
  <c r="P30" i="1"/>
  <c r="R30" i="1"/>
  <c r="P26" i="1"/>
  <c r="R26" i="1"/>
  <c r="T20" i="1"/>
  <c r="U20" i="1" s="1"/>
  <c r="V29" i="1"/>
  <c r="N29" i="1"/>
  <c r="V21" i="1"/>
  <c r="N21" i="1"/>
  <c r="V9" i="1"/>
  <c r="N9" i="1"/>
  <c r="T21" i="1"/>
  <c r="U21" i="1" s="1"/>
  <c r="N31" i="1"/>
  <c r="V31" i="1"/>
  <c r="V23" i="1"/>
  <c r="N23" i="1"/>
  <c r="N15" i="1"/>
  <c r="V15" i="1"/>
  <c r="T12" i="1"/>
  <c r="U12" i="1" s="1"/>
  <c r="T16" i="1"/>
  <c r="U16" i="1" s="1"/>
  <c r="P20" i="1"/>
  <c r="R20" i="1"/>
  <c r="R28" i="1"/>
  <c r="P28" i="1"/>
  <c r="P22" i="1"/>
  <c r="R22" i="1"/>
  <c r="V10" i="1"/>
  <c r="N10" i="1"/>
  <c r="T29" i="1"/>
  <c r="U29" i="1" s="1"/>
  <c r="N27" i="1"/>
  <c r="V27" i="1"/>
  <c r="V19" i="1"/>
  <c r="N19" i="1"/>
  <c r="N11" i="1"/>
  <c r="V11" i="1"/>
  <c r="T18" i="1"/>
  <c r="U18" i="1" s="1"/>
  <c r="R24" i="1"/>
  <c r="P24" i="1"/>
  <c r="R8" i="1"/>
  <c r="P8" i="1"/>
  <c r="R34" i="1"/>
  <c r="P34" i="1"/>
  <c r="P9" i="1" l="1"/>
  <c r="R9" i="1"/>
  <c r="P15" i="1"/>
  <c r="R15" i="1"/>
  <c r="P31" i="1"/>
  <c r="R31" i="1"/>
  <c r="R21" i="1"/>
  <c r="P21" i="1"/>
  <c r="P19" i="1"/>
  <c r="R19" i="1"/>
  <c r="P10" i="1"/>
  <c r="R10" i="1"/>
  <c r="R23" i="1"/>
  <c r="P23" i="1"/>
  <c r="P33" i="1"/>
  <c r="R33" i="1"/>
  <c r="P29" i="1"/>
  <c r="R29" i="1"/>
  <c r="P17" i="1"/>
  <c r="R17" i="1"/>
  <c r="P11" i="1"/>
  <c r="R11" i="1"/>
  <c r="R27" i="1"/>
  <c r="P27" i="1"/>
  <c r="R25" i="1"/>
  <c r="P25" i="1"/>
  <c r="R35" i="1"/>
  <c r="P35" i="1"/>
  <c r="P13" i="1"/>
  <c r="R13" i="1"/>
</calcChain>
</file>

<file path=xl/sharedStrings.xml><?xml version="1.0" encoding="utf-8"?>
<sst xmlns="http://schemas.openxmlformats.org/spreadsheetml/2006/main" count="17" uniqueCount="15">
  <si>
    <t>MV1bis</t>
  </si>
  <si>
    <t>JAARLOON</t>
  </si>
  <si>
    <t>MAANDLOON</t>
  </si>
  <si>
    <t>HAARDTOELAGE</t>
  </si>
  <si>
    <t>STANDPLAATS-</t>
  </si>
  <si>
    <t>TOELAGE</t>
  </si>
  <si>
    <t>UURLOON</t>
  </si>
  <si>
    <t>38u</t>
  </si>
  <si>
    <t>40u</t>
  </si>
  <si>
    <t>UURLOON MET</t>
  </si>
  <si>
    <t>DIENSTVERANTWOORDELIJKEN IN DVO</t>
  </si>
  <si>
    <t>1 maart 2012</t>
  </si>
  <si>
    <t>basis = 01/03/2012 (100%)</t>
  </si>
  <si>
    <t>coëfficiënt:</t>
  </si>
  <si>
    <t>haard/standplaats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</si>
</sst>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#,##0.0000"/>
    <numFmt numFmtId="166" formatCode="0.0000"/>
  </numFmts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3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4" xfId="0" applyBorder="1"/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165" fontId="0" fillId="0" borderId="4" xfId="0" applyNumberFormat="1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/>
    <xf numFmtId="0" fontId="2" fillId="0" borderId="0" xfId="1" applyFont="1"/>
    <xf numFmtId="0" fontId="6" fillId="0" borderId="0" xfId="0" applyFont="1" applyAlignment="1">
      <alignment horizontal="right"/>
    </xf>
    <xf numFmtId="166" fontId="1" fillId="0" borderId="0" xfId="1" applyNumberFormat="1" applyFont="1"/>
    <xf numFmtId="0" fontId="1" fillId="0" borderId="0" xfId="1"/>
    <xf numFmtId="0" fontId="1" fillId="0" borderId="0" xfId="1" applyFont="1"/>
    <xf numFmtId="4" fontId="0" fillId="0" borderId="0" xfId="0" applyNumberFormat="1"/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4" fontId="0" fillId="0" borderId="8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zoomScale="75" zoomScaleNormal="75" workbookViewId="0"/>
  </sheetViews>
  <sheetFormatPr defaultColWidth="8.85546875" defaultRowHeight="14.25" x14ac:dyDescent="0.2"/>
  <cols>
    <col min="1" max="1" width="4.42578125" style="1" customWidth="1"/>
    <col min="2" max="21" width="8.85546875" style="1" customWidth="1"/>
    <col min="22" max="24" width="8.85546875" style="1"/>
    <col min="31" max="16384" width="8.85546875" style="1"/>
  </cols>
  <sheetData>
    <row r="1" spans="1:30" ht="15" x14ac:dyDescent="0.25">
      <c r="A1" s="2" t="s">
        <v>0</v>
      </c>
      <c r="H1" s="3" t="s">
        <v>10</v>
      </c>
    </row>
    <row r="2" spans="1:30" s="15" customFormat="1" ht="15.75" x14ac:dyDescent="0.3">
      <c r="V2" s="16" t="s">
        <v>13</v>
      </c>
      <c r="W2" s="17">
        <f>ROUND(1.02^4,4)</f>
        <v>1.0824</v>
      </c>
      <c r="Y2" s="18"/>
      <c r="Z2" s="18"/>
      <c r="AA2" s="18"/>
      <c r="AB2" s="18"/>
      <c r="AC2" s="18"/>
      <c r="AD2" s="18"/>
    </row>
    <row r="3" spans="1:30" s="15" customFormat="1" ht="15.75" x14ac:dyDescent="0.3">
      <c r="B3" s="19" t="s">
        <v>12</v>
      </c>
      <c r="V3" s="16" t="s">
        <v>14</v>
      </c>
      <c r="W3" s="17">
        <f>ROUND(1.02^15,4)</f>
        <v>1.3459000000000001</v>
      </c>
      <c r="Y3" s="18"/>
      <c r="Z3" s="18"/>
      <c r="AA3" s="18"/>
      <c r="AB3" s="18"/>
      <c r="AC3" s="18"/>
      <c r="AD3" s="18"/>
    </row>
    <row r="4" spans="1:30" x14ac:dyDescent="0.2">
      <c r="A4" s="4"/>
      <c r="B4" s="21" t="s">
        <v>1</v>
      </c>
      <c r="C4" s="23"/>
      <c r="D4" s="23"/>
      <c r="E4" s="22"/>
      <c r="F4" s="21" t="s">
        <v>2</v>
      </c>
      <c r="G4" s="23"/>
      <c r="H4" s="23"/>
      <c r="I4" s="22"/>
      <c r="J4" s="21" t="s">
        <v>3</v>
      </c>
      <c r="K4" s="27"/>
      <c r="L4" s="21" t="s">
        <v>4</v>
      </c>
      <c r="M4" s="22"/>
      <c r="N4" s="21" t="s">
        <v>6</v>
      </c>
      <c r="O4" s="23"/>
      <c r="P4" s="23"/>
      <c r="Q4" s="23"/>
      <c r="R4" s="23"/>
      <c r="S4" s="22"/>
      <c r="T4" s="6" t="s">
        <v>9</v>
      </c>
      <c r="U4" s="6"/>
      <c r="V4" s="6"/>
      <c r="W4" s="5"/>
    </row>
    <row r="5" spans="1:30" x14ac:dyDescent="0.2">
      <c r="A5" s="7"/>
      <c r="B5" s="24"/>
      <c r="C5" s="26"/>
      <c r="D5" s="24"/>
      <c r="E5" s="25"/>
      <c r="F5" s="13"/>
      <c r="G5" s="13"/>
      <c r="H5" s="24"/>
      <c r="I5" s="26"/>
      <c r="J5" s="24"/>
      <c r="K5" s="26"/>
      <c r="L5" s="28" t="s">
        <v>5</v>
      </c>
      <c r="M5" s="26"/>
      <c r="N5" s="28" t="s">
        <v>7</v>
      </c>
      <c r="O5" s="29"/>
      <c r="P5" s="29"/>
      <c r="Q5" s="29"/>
      <c r="R5" s="29"/>
      <c r="S5" s="26"/>
      <c r="T5" s="8"/>
      <c r="U5" s="8"/>
      <c r="V5" s="47" t="s">
        <v>8</v>
      </c>
      <c r="W5" s="26"/>
    </row>
    <row r="6" spans="1:30" x14ac:dyDescent="0.2">
      <c r="A6" s="7"/>
      <c r="B6" s="35" t="s">
        <v>11</v>
      </c>
      <c r="C6" s="36"/>
      <c r="D6" s="33">
        <v>43739</v>
      </c>
      <c r="E6" s="34"/>
      <c r="F6" s="35" t="s">
        <v>11</v>
      </c>
      <c r="G6" s="36"/>
      <c r="H6" s="33">
        <f>D6</f>
        <v>43739</v>
      </c>
      <c r="I6" s="34"/>
      <c r="J6" s="37"/>
      <c r="K6" s="38"/>
      <c r="L6" s="37"/>
      <c r="M6" s="38"/>
      <c r="N6" s="32">
        <v>1</v>
      </c>
      <c r="O6" s="30"/>
      <c r="P6" s="30">
        <v>0.5</v>
      </c>
      <c r="Q6" s="30"/>
      <c r="R6" s="30">
        <v>0.2</v>
      </c>
      <c r="S6" s="31"/>
      <c r="T6" s="8" t="s">
        <v>3</v>
      </c>
      <c r="U6" s="8"/>
      <c r="V6" s="8"/>
      <c r="W6" s="9"/>
    </row>
    <row r="7" spans="1:30" x14ac:dyDescent="0.2">
      <c r="A7" s="7"/>
      <c r="B7" s="21"/>
      <c r="C7" s="22"/>
      <c r="D7" s="39"/>
      <c r="E7" s="27"/>
      <c r="F7" s="14"/>
      <c r="G7" s="14"/>
      <c r="H7" s="39"/>
      <c r="I7" s="27"/>
      <c r="J7" s="39"/>
      <c r="K7" s="27"/>
      <c r="L7" s="39"/>
      <c r="M7" s="27"/>
      <c r="N7" s="39"/>
      <c r="O7" s="27"/>
      <c r="P7" s="39"/>
      <c r="Q7" s="27"/>
      <c r="R7" s="39"/>
      <c r="S7" s="27"/>
      <c r="T7" s="4"/>
      <c r="U7" s="4"/>
      <c r="V7" s="39"/>
      <c r="W7" s="27"/>
    </row>
    <row r="8" spans="1:30" x14ac:dyDescent="0.2">
      <c r="A8" s="7">
        <v>0</v>
      </c>
      <c r="B8" s="40">
        <f>F8*12</f>
        <v>26901.840000000004</v>
      </c>
      <c r="C8" s="44"/>
      <c r="D8" s="40">
        <f>H8*12</f>
        <v>29118.551616000004</v>
      </c>
      <c r="E8" s="41"/>
      <c r="F8" s="40">
        <f>2197.73+44.09</f>
        <v>2241.8200000000002</v>
      </c>
      <c r="G8" s="41"/>
      <c r="H8" s="40">
        <f>F8*$W$2</f>
        <v>2426.5459680000004</v>
      </c>
      <c r="I8" s="41"/>
      <c r="J8" s="40">
        <f>((F8&lt;19968.2/12*1.2434)*913.03/12+(F8&gt;19968.2/12*1.2434)*(F8&lt;20424.71/12*1.2434)*(20424.71/12*-F8/1.2434+456.51/12)+(F8&gt;20424.71/12*1.2434)*(F8&lt;22659.62/12*1.2434)*456.51/12+(F8&gt;22659.62/12*1.2434)*(F8&lt;23116.13/12*1.2434)*(23116.13/12-F8/1.2434))*$W$3</f>
        <v>51.201400749999998</v>
      </c>
      <c r="K8" s="41">
        <f t="shared" ref="K8" si="0">J8/40.3399</f>
        <v>1.2692495705244682</v>
      </c>
      <c r="L8" s="40">
        <f>((F8&lt;19968.2/12*1.2434)*456.51/12+(F8&gt;19968.2/12*1.2434)*(F8&lt;20196.46/12*1.2434)*(20196.46/12-F8/1.2434+228.26/12)+(F8&gt;20196.46/12*1.2434)*(F8&lt;22659.62/12*1.2434)*228.26/12+(F8&gt;22659.62/12*1.2434)*(F8&lt;22887.88/12*1.2434)*(22887.88/12-F8/1.2434))*$W$3</f>
        <v>25.601261166666667</v>
      </c>
      <c r="M8" s="41">
        <f t="shared" ref="M8" si="1">L8/40.3399</f>
        <v>0.63463868692452552</v>
      </c>
      <c r="N8" s="42">
        <f t="shared" ref="N8:N35" si="2">D8/1976</f>
        <v>14.736109117408908</v>
      </c>
      <c r="O8" s="43"/>
      <c r="P8" s="42">
        <f>N8/2</f>
        <v>7.3680545587044541</v>
      </c>
      <c r="Q8" s="43"/>
      <c r="R8" s="42">
        <f>N8/5</f>
        <v>2.9472218234817817</v>
      </c>
      <c r="S8" s="43"/>
      <c r="T8" s="10">
        <f>(H8+J8)/1976*12</f>
        <v>15.047048798076927</v>
      </c>
      <c r="U8" s="10">
        <f>T8/40.3399</f>
        <v>0.37300659639902251</v>
      </c>
      <c r="V8" s="42">
        <f t="shared" ref="V8:V35" si="3">D8/2080</f>
        <v>13.999303661538464</v>
      </c>
      <c r="W8" s="43"/>
      <c r="Y8" s="20"/>
      <c r="AC8" s="20"/>
    </row>
    <row r="9" spans="1:30" x14ac:dyDescent="0.2">
      <c r="A9" s="7">
        <f t="shared" ref="A9:A35" si="4">+A8+1</f>
        <v>1</v>
      </c>
      <c r="B9" s="40">
        <f t="shared" ref="B9:B35" si="5">F9*12</f>
        <v>27381</v>
      </c>
      <c r="C9" s="44"/>
      <c r="D9" s="40">
        <f t="shared" ref="D9:D35" si="6">H9*12</f>
        <v>29637.1944</v>
      </c>
      <c r="E9" s="41"/>
      <c r="F9" s="40">
        <f>2237.66+44.09</f>
        <v>2281.75</v>
      </c>
      <c r="G9" s="41"/>
      <c r="H9" s="40">
        <f t="shared" ref="H9:H35" si="7">F9*$W$2</f>
        <v>2469.7662</v>
      </c>
      <c r="I9" s="41"/>
      <c r="J9" s="40">
        <f>((F9&lt;19968.2/12*1.2434)*913.03/12+(F9&gt;19968.2/12*1.2434)*(F9&lt;20424.71/12*1.2434)*(20424.71/12*-F9/1.2434+456.51/12)+(F9&gt;20424.71/12*1.2434)*(F9&lt;22659.62/12*1.2434)*456.51/12+(F9&gt;22659.62/12*1.2434)*(F9&lt;23116.13/12*1.2434)*(23116.13/12-F9/1.2434))*$W$3</f>
        <v>51.201400749999998</v>
      </c>
      <c r="K9" s="41">
        <f t="shared" ref="K9:K35" si="8">J9/40.3399</f>
        <v>1.2692495705244682</v>
      </c>
      <c r="L9" s="40">
        <f>((F9&lt;19968.2/12*1.2434)*456.51/12+(F9&gt;19968.2/12*1.2434)*(F9&lt;20196.46/12*1.2434)*(20196.46/12-F9/1.2434+228.26/12)+(F9&gt;20196.46/12*1.2434)*(F9&lt;22659.62/12*1.2434)*228.26/12+(F9&gt;22659.62/12*1.2434)*(F9&lt;22887.88/12*1.2434)*(22887.88/12-F9/1.2434))*$W$3</f>
        <v>25.601261166666667</v>
      </c>
      <c r="M9" s="41">
        <f t="shared" ref="M9:M35" si="9">L9/40.3399</f>
        <v>0.63463868692452552</v>
      </c>
      <c r="N9" s="42">
        <f t="shared" si="2"/>
        <v>14.99858016194332</v>
      </c>
      <c r="O9" s="43"/>
      <c r="P9" s="42">
        <f t="shared" ref="P9:P35" si="10">N9/2</f>
        <v>7.4992900809716598</v>
      </c>
      <c r="Q9" s="43"/>
      <c r="R9" s="42">
        <f t="shared" ref="R9:R35" si="11">N9/5</f>
        <v>2.999716032388664</v>
      </c>
      <c r="S9" s="43"/>
      <c r="T9" s="10">
        <f t="shared" ref="T9:T35" si="12">(H9+J9)/1976*12</f>
        <v>15.309519842611337</v>
      </c>
      <c r="U9" s="10">
        <f t="shared" ref="U9:U35" si="13">T9/40.3399</f>
        <v>0.37951308363707736</v>
      </c>
      <c r="V9" s="42">
        <f t="shared" si="3"/>
        <v>14.248651153846154</v>
      </c>
      <c r="W9" s="43"/>
      <c r="Y9" s="20"/>
      <c r="AC9" s="20"/>
    </row>
    <row r="10" spans="1:30" x14ac:dyDescent="0.2">
      <c r="A10" s="7">
        <f t="shared" si="4"/>
        <v>2</v>
      </c>
      <c r="B10" s="40">
        <f t="shared" si="5"/>
        <v>28117.08</v>
      </c>
      <c r="C10" s="44"/>
      <c r="D10" s="40">
        <f t="shared" si="6"/>
        <v>30433.927392000001</v>
      </c>
      <c r="E10" s="41"/>
      <c r="F10" s="40">
        <f>2299+44.09</f>
        <v>2343.09</v>
      </c>
      <c r="G10" s="41"/>
      <c r="H10" s="40">
        <f t="shared" si="7"/>
        <v>2536.1606160000001</v>
      </c>
      <c r="I10" s="41"/>
      <c r="J10" s="40">
        <f>((F10&lt;19968.2/12*1.2434)*913.03/12+(F10&gt;19968.2/12*1.2434)*(F10&lt;20424.71/12*1.2434)*(20424.71/12*-F10/1.2434+456.51/12)+(F10&gt;20424.71/12*1.2434)*(F10&lt;22659.62/12*1.2434)*456.51/12+(F10&gt;22659.62/12*1.2434)*(F10&lt;23116.13/12*1.2434)*(23116.13/12-F10/1.2434))*$W$3</f>
        <v>51.201400749999998</v>
      </c>
      <c r="K10" s="41">
        <f t="shared" si="8"/>
        <v>1.2692495705244682</v>
      </c>
      <c r="L10" s="40">
        <f>((F10&lt;19968.2/12*1.2434)*456.51/12+(F10&gt;19968.2/12*1.2434)*(F10&lt;20196.46/12*1.2434)*(20196.46/12-F10/1.2434+228.26/12)+(F10&gt;20196.46/12*1.2434)*(F10&lt;22659.62/12*1.2434)*228.26/12+(F10&gt;22659.62/12*1.2434)*(F10&lt;22887.88/12*1.2434)*(22887.88/12-F10/1.2434))*$W$3</f>
        <v>25.601261166666667</v>
      </c>
      <c r="M10" s="41">
        <f t="shared" si="9"/>
        <v>0.63463868692452552</v>
      </c>
      <c r="N10" s="42">
        <f t="shared" si="2"/>
        <v>15.401785117408908</v>
      </c>
      <c r="O10" s="43"/>
      <c r="P10" s="42">
        <f t="shared" si="10"/>
        <v>7.7008925587044539</v>
      </c>
      <c r="Q10" s="43"/>
      <c r="R10" s="42">
        <f t="shared" si="11"/>
        <v>3.0803570234817816</v>
      </c>
      <c r="S10" s="43"/>
      <c r="T10" s="10">
        <f t="shared" si="12"/>
        <v>15.712724798076927</v>
      </c>
      <c r="U10" s="10">
        <f t="shared" si="13"/>
        <v>0.38950827339871757</v>
      </c>
      <c r="V10" s="42">
        <f t="shared" si="3"/>
        <v>14.631695861538462</v>
      </c>
      <c r="W10" s="43"/>
      <c r="Y10" s="20"/>
      <c r="AC10" s="20"/>
    </row>
    <row r="11" spans="1:30" x14ac:dyDescent="0.2">
      <c r="A11" s="7">
        <f t="shared" si="4"/>
        <v>3</v>
      </c>
      <c r="B11" s="40">
        <f t="shared" si="5"/>
        <v>29110.560000000001</v>
      </c>
      <c r="C11" s="44"/>
      <c r="D11" s="40">
        <f t="shared" si="6"/>
        <v>31509.270144000002</v>
      </c>
      <c r="E11" s="41"/>
      <c r="F11" s="40">
        <f>2381.79+44.09</f>
        <v>2425.88</v>
      </c>
      <c r="G11" s="41"/>
      <c r="H11" s="40">
        <f t="shared" si="7"/>
        <v>2625.772512</v>
      </c>
      <c r="I11" s="41"/>
      <c r="J11" s="40">
        <f>((F11&lt;19968.2/12*1.2434)*913.03/12+(F11&gt;19968.2/12*1.2434)*(F11&lt;20424.71/12*1.2434)*(20424.71/12*-F11/1.2434+456.51/12)+(F11&gt;20424.71/12*1.2434)*(F11&lt;22659.62/12*1.2434)*456.51/12+(F11&gt;22659.62/12*1.2434)*(F11&lt;23116.13/12*1.2434)*(23116.13/12-F11/1.2434))*$W$3</f>
        <v>0</v>
      </c>
      <c r="K11" s="41">
        <f t="shared" si="8"/>
        <v>0</v>
      </c>
      <c r="L11" s="40">
        <f>((F11&lt;19968.2/12*1.2434)*456.51/12+(F11&gt;19968.2/12*1.2434)*(F11&lt;20196.46/12*1.2434)*(20196.46/12-F11/1.2434+228.26/12)+(F11&gt;20196.46/12*1.2434)*(F11&lt;22659.62/12*1.2434)*228.26/12+(F11&gt;22659.62/12*1.2434)*(F11&lt;22887.88/12*1.2434)*(22887.88/12-F11/1.2434))*$W$3</f>
        <v>0</v>
      </c>
      <c r="M11" s="41">
        <f t="shared" si="9"/>
        <v>0</v>
      </c>
      <c r="N11" s="42">
        <f t="shared" si="2"/>
        <v>15.945986914979757</v>
      </c>
      <c r="O11" s="43"/>
      <c r="P11" s="42">
        <f t="shared" si="10"/>
        <v>7.9729934574898786</v>
      </c>
      <c r="Q11" s="43"/>
      <c r="R11" s="42">
        <f t="shared" si="11"/>
        <v>3.1891973829959515</v>
      </c>
      <c r="S11" s="43"/>
      <c r="T11" s="10">
        <f t="shared" si="12"/>
        <v>15.945986914979756</v>
      </c>
      <c r="U11" s="10">
        <f t="shared" si="13"/>
        <v>0.39529069023422853</v>
      </c>
      <c r="V11" s="42">
        <f t="shared" si="3"/>
        <v>15.14868756923077</v>
      </c>
      <c r="W11" s="43"/>
      <c r="Y11" s="20"/>
      <c r="AC11" s="20"/>
    </row>
    <row r="12" spans="1:30" x14ac:dyDescent="0.2">
      <c r="A12" s="7">
        <f t="shared" si="4"/>
        <v>4</v>
      </c>
      <c r="B12" s="40">
        <f t="shared" si="5"/>
        <v>30098.160000000003</v>
      </c>
      <c r="C12" s="44"/>
      <c r="D12" s="40">
        <f t="shared" si="6"/>
        <v>32578.248384000002</v>
      </c>
      <c r="E12" s="41"/>
      <c r="F12" s="40">
        <f>2464.09+44.09</f>
        <v>2508.1800000000003</v>
      </c>
      <c r="G12" s="41"/>
      <c r="H12" s="40">
        <f t="shared" si="7"/>
        <v>2714.8540320000002</v>
      </c>
      <c r="I12" s="41"/>
      <c r="J12" s="40">
        <f>((F12&lt;19968.2/12*1.2434)*913.03/12+(F12&gt;19968.2/12*1.2434)*(F12&lt;20424.71/12*1.2434)*(20424.71/12*-F12/1.2434+456.51/12)+(F12&gt;20424.71/12*1.2434)*(F12&lt;22659.62/12*1.2434)*456.51/12+(F12&gt;22659.62/12*1.2434)*(F12&lt;23116.13/12*1.2434)*(23116.13/12-F12/1.2434))*$W$3</f>
        <v>0</v>
      </c>
      <c r="K12" s="41">
        <f t="shared" si="8"/>
        <v>0</v>
      </c>
      <c r="L12" s="40">
        <f>((F12&lt;19968.2/12*1.2434)*456.51/12+(F12&gt;19968.2/12*1.2434)*(F12&lt;20196.46/12*1.2434)*(20196.46/12-F12/1.2434+228.26/12)+(F12&gt;20196.46/12*1.2434)*(F12&lt;22659.62/12*1.2434)*228.26/12+(F12&gt;22659.62/12*1.2434)*(F12&lt;22887.88/12*1.2434)*(22887.88/12-F12/1.2434))*$W$3</f>
        <v>0</v>
      </c>
      <c r="M12" s="41">
        <f t="shared" si="9"/>
        <v>0</v>
      </c>
      <c r="N12" s="42">
        <f t="shared" si="2"/>
        <v>16.486967805668016</v>
      </c>
      <c r="O12" s="43"/>
      <c r="P12" s="42">
        <f t="shared" si="10"/>
        <v>8.2434839028340079</v>
      </c>
      <c r="Q12" s="43"/>
      <c r="R12" s="42">
        <f t="shared" si="11"/>
        <v>3.2973935611336032</v>
      </c>
      <c r="S12" s="43"/>
      <c r="T12" s="10">
        <f t="shared" si="12"/>
        <v>16.486967805668019</v>
      </c>
      <c r="U12" s="10">
        <f t="shared" si="13"/>
        <v>0.40870125621699654</v>
      </c>
      <c r="V12" s="42">
        <f t="shared" si="3"/>
        <v>15.662619415384617</v>
      </c>
      <c r="W12" s="43"/>
      <c r="Y12" s="20"/>
      <c r="AC12" s="20"/>
    </row>
    <row r="13" spans="1:30" x14ac:dyDescent="0.2">
      <c r="A13" s="7">
        <f t="shared" si="4"/>
        <v>5</v>
      </c>
      <c r="B13" s="40">
        <f t="shared" si="5"/>
        <v>30108.120000000003</v>
      </c>
      <c r="C13" s="44"/>
      <c r="D13" s="40">
        <f t="shared" si="6"/>
        <v>32589.029088000003</v>
      </c>
      <c r="E13" s="41"/>
      <c r="F13" s="40">
        <f>2464.92+44.09</f>
        <v>2509.0100000000002</v>
      </c>
      <c r="G13" s="41"/>
      <c r="H13" s="40">
        <f t="shared" si="7"/>
        <v>2715.7524240000002</v>
      </c>
      <c r="I13" s="41"/>
      <c r="J13" s="40">
        <f>((F13&lt;19968.2/12*1.2434)*913.03/12+(F13&gt;19968.2/12*1.2434)*(F13&lt;20424.71/12*1.2434)*(20424.71/12*-F13/1.2434+456.51/12)+(F13&gt;20424.71/12*1.2434)*(F13&lt;22659.62/12*1.2434)*456.51/12+(F13&gt;22659.62/12*1.2434)*(F13&lt;23116.13/12*1.2434)*(23116.13/12-F13/1.2434))*$W$3</f>
        <v>0</v>
      </c>
      <c r="K13" s="41">
        <f t="shared" si="8"/>
        <v>0</v>
      </c>
      <c r="L13" s="40">
        <f>((F13&lt;19968.2/12*1.2434)*456.51/12+(F13&gt;19968.2/12*1.2434)*(F13&lt;20196.46/12*1.2434)*(20196.46/12-F13/1.2434+228.26/12)+(F13&gt;20196.46/12*1.2434)*(F13&lt;22659.62/12*1.2434)*228.26/12+(F13&gt;22659.62/12*1.2434)*(F13&lt;22887.88/12*1.2434)*(22887.88/12-F13/1.2434))*$W$3</f>
        <v>0</v>
      </c>
      <c r="M13" s="41">
        <f t="shared" si="9"/>
        <v>0</v>
      </c>
      <c r="N13" s="42">
        <f t="shared" si="2"/>
        <v>16.492423627530364</v>
      </c>
      <c r="O13" s="43"/>
      <c r="P13" s="42">
        <f t="shared" si="10"/>
        <v>8.2462118137651821</v>
      </c>
      <c r="Q13" s="43"/>
      <c r="R13" s="42">
        <f t="shared" si="11"/>
        <v>3.2984847255060727</v>
      </c>
      <c r="S13" s="43"/>
      <c r="T13" s="10">
        <f t="shared" si="12"/>
        <v>16.492423627530364</v>
      </c>
      <c r="U13" s="10">
        <f t="shared" si="13"/>
        <v>0.4088365025081957</v>
      </c>
      <c r="V13" s="42">
        <f t="shared" si="3"/>
        <v>15.667802446153848</v>
      </c>
      <c r="W13" s="43"/>
      <c r="Y13" s="20"/>
      <c r="AC13" s="20"/>
    </row>
    <row r="14" spans="1:30" x14ac:dyDescent="0.2">
      <c r="A14" s="7">
        <f t="shared" si="4"/>
        <v>6</v>
      </c>
      <c r="B14" s="40">
        <f t="shared" si="5"/>
        <v>31515.72</v>
      </c>
      <c r="C14" s="44"/>
      <c r="D14" s="40">
        <f t="shared" si="6"/>
        <v>34112.615328</v>
      </c>
      <c r="E14" s="41"/>
      <c r="F14" s="40">
        <f>2582.22+44.09</f>
        <v>2626.31</v>
      </c>
      <c r="G14" s="41"/>
      <c r="H14" s="40">
        <f t="shared" si="7"/>
        <v>2842.717944</v>
      </c>
      <c r="I14" s="41"/>
      <c r="J14" s="40">
        <f>((F14&lt;19968.2/12*1.2434)*913.03/12+(F14&gt;19968.2/12*1.2434)*(F14&lt;20424.71/12*1.2434)*(20424.71/12*-F14/1.2434+456.51/12)+(F14&gt;20424.71/12*1.2434)*(F14&lt;22659.62/12*1.2434)*456.51/12+(F14&gt;22659.62/12*1.2434)*(F14&lt;23116.13/12*1.2434)*(23116.13/12-F14/1.2434))*$W$3</f>
        <v>0</v>
      </c>
      <c r="K14" s="41">
        <f t="shared" si="8"/>
        <v>0</v>
      </c>
      <c r="L14" s="40">
        <f>((F14&lt;19968.2/12*1.2434)*456.51/12+(F14&gt;19968.2/12*1.2434)*(F14&lt;20196.46/12*1.2434)*(20196.46/12-F14/1.2434+228.26/12)+(F14&gt;20196.46/12*1.2434)*(F14&lt;22659.62/12*1.2434)*228.26/12+(F14&gt;22659.62/12*1.2434)*(F14&lt;22887.88/12*1.2434)*(22887.88/12-F14/1.2434))*$W$3</f>
        <v>0</v>
      </c>
      <c r="M14" s="41">
        <f t="shared" si="9"/>
        <v>0</v>
      </c>
      <c r="N14" s="42">
        <f t="shared" si="2"/>
        <v>17.26346929554656</v>
      </c>
      <c r="O14" s="43"/>
      <c r="P14" s="42">
        <f t="shared" si="10"/>
        <v>8.6317346477732801</v>
      </c>
      <c r="Q14" s="43"/>
      <c r="R14" s="42">
        <f t="shared" si="11"/>
        <v>3.4526938591093121</v>
      </c>
      <c r="S14" s="43"/>
      <c r="T14" s="10">
        <f t="shared" si="12"/>
        <v>17.26346929554656</v>
      </c>
      <c r="U14" s="10">
        <f t="shared" si="13"/>
        <v>0.42795022534876287</v>
      </c>
      <c r="V14" s="42">
        <f t="shared" si="3"/>
        <v>16.400295830769231</v>
      </c>
      <c r="W14" s="43"/>
      <c r="Y14" s="20"/>
      <c r="AC14" s="20"/>
    </row>
    <row r="15" spans="1:30" x14ac:dyDescent="0.2">
      <c r="A15" s="7">
        <f t="shared" si="4"/>
        <v>7</v>
      </c>
      <c r="B15" s="40">
        <f t="shared" si="5"/>
        <v>33128.639999999999</v>
      </c>
      <c r="C15" s="44"/>
      <c r="D15" s="40">
        <f t="shared" si="6"/>
        <v>35858.43993600001</v>
      </c>
      <c r="E15" s="41"/>
      <c r="F15" s="40">
        <f>2716.63+44.09</f>
        <v>2760.7200000000003</v>
      </c>
      <c r="G15" s="41"/>
      <c r="H15" s="40">
        <f t="shared" si="7"/>
        <v>2988.2033280000005</v>
      </c>
      <c r="I15" s="41"/>
      <c r="J15" s="40">
        <f>((F15&lt;19968.2/12*1.2434)*913.03/12+(F15&gt;19968.2/12*1.2434)*(F15&lt;20424.71/12*1.2434)*(20424.71/12*-F15/1.2434+456.51/12)+(F15&gt;20424.71/12*1.2434)*(F15&lt;22659.62/12*1.2434)*456.51/12+(F15&gt;22659.62/12*1.2434)*(F15&lt;23116.13/12*1.2434)*(23116.13/12-F15/1.2434))*$W$3</f>
        <v>0</v>
      </c>
      <c r="K15" s="41">
        <f t="shared" si="8"/>
        <v>0</v>
      </c>
      <c r="L15" s="40">
        <f>((F15&lt;19968.2/12*1.2434)*456.51/12+(F15&gt;19968.2/12*1.2434)*(F15&lt;20196.46/12*1.2434)*(20196.46/12-F15/1.2434+228.26/12)+(F15&gt;20196.46/12*1.2434)*(F15&lt;22659.62/12*1.2434)*228.26/12+(F15&gt;22659.62/12*1.2434)*(F15&lt;22887.88/12*1.2434)*(22887.88/12-F15/1.2434))*$W$3</f>
        <v>0</v>
      </c>
      <c r="M15" s="41">
        <f t="shared" si="9"/>
        <v>0</v>
      </c>
      <c r="N15" s="42">
        <f t="shared" si="2"/>
        <v>18.146983773279356</v>
      </c>
      <c r="O15" s="43"/>
      <c r="P15" s="42">
        <f t="shared" si="10"/>
        <v>9.0734918866396779</v>
      </c>
      <c r="Q15" s="43"/>
      <c r="R15" s="42">
        <f t="shared" si="11"/>
        <v>3.629396754655871</v>
      </c>
      <c r="S15" s="43"/>
      <c r="T15" s="10">
        <f t="shared" si="12"/>
        <v>18.146983773279356</v>
      </c>
      <c r="U15" s="10">
        <f t="shared" si="13"/>
        <v>0.44985197715609992</v>
      </c>
      <c r="V15" s="42">
        <f t="shared" si="3"/>
        <v>17.239634584615388</v>
      </c>
      <c r="W15" s="43"/>
      <c r="Y15" s="20"/>
      <c r="AC15" s="20"/>
    </row>
    <row r="16" spans="1:30" x14ac:dyDescent="0.2">
      <c r="A16" s="7">
        <f t="shared" si="4"/>
        <v>8</v>
      </c>
      <c r="B16" s="40">
        <f t="shared" si="5"/>
        <v>33128.639999999999</v>
      </c>
      <c r="C16" s="44"/>
      <c r="D16" s="40">
        <f t="shared" si="6"/>
        <v>35858.43993600001</v>
      </c>
      <c r="E16" s="41"/>
      <c r="F16" s="40">
        <f>2716.63+44.09</f>
        <v>2760.7200000000003</v>
      </c>
      <c r="G16" s="41"/>
      <c r="H16" s="40">
        <f t="shared" si="7"/>
        <v>2988.2033280000005</v>
      </c>
      <c r="I16" s="41"/>
      <c r="J16" s="40">
        <f>((F16&lt;19968.2/12*1.2434)*913.03/12+(F16&gt;19968.2/12*1.2434)*(F16&lt;20424.71/12*1.2434)*(20424.71/12*-F16/1.2434+456.51/12)+(F16&gt;20424.71/12*1.2434)*(F16&lt;22659.62/12*1.2434)*456.51/12+(F16&gt;22659.62/12*1.2434)*(F16&lt;23116.13/12*1.2434)*(23116.13/12-F16/1.2434))*$W$3</f>
        <v>0</v>
      </c>
      <c r="K16" s="41">
        <f t="shared" si="8"/>
        <v>0</v>
      </c>
      <c r="L16" s="40">
        <f>((F16&lt;19968.2/12*1.2434)*456.51/12+(F16&gt;19968.2/12*1.2434)*(F16&lt;20196.46/12*1.2434)*(20196.46/12-F16/1.2434+228.26/12)+(F16&gt;20196.46/12*1.2434)*(F16&lt;22659.62/12*1.2434)*228.26/12+(F16&gt;22659.62/12*1.2434)*(F16&lt;22887.88/12*1.2434)*(22887.88/12-F16/1.2434))*$W$3</f>
        <v>0</v>
      </c>
      <c r="M16" s="41">
        <f t="shared" si="9"/>
        <v>0</v>
      </c>
      <c r="N16" s="42">
        <f t="shared" si="2"/>
        <v>18.146983773279356</v>
      </c>
      <c r="O16" s="43"/>
      <c r="P16" s="42">
        <f t="shared" si="10"/>
        <v>9.0734918866396779</v>
      </c>
      <c r="Q16" s="43"/>
      <c r="R16" s="42">
        <f t="shared" si="11"/>
        <v>3.629396754655871</v>
      </c>
      <c r="S16" s="43"/>
      <c r="T16" s="10">
        <f t="shared" si="12"/>
        <v>18.146983773279356</v>
      </c>
      <c r="U16" s="10">
        <f t="shared" si="13"/>
        <v>0.44985197715609992</v>
      </c>
      <c r="V16" s="42">
        <f t="shared" si="3"/>
        <v>17.239634584615388</v>
      </c>
      <c r="W16" s="43"/>
      <c r="Y16" s="20"/>
      <c r="AC16" s="20"/>
    </row>
    <row r="17" spans="1:29" x14ac:dyDescent="0.2">
      <c r="A17" s="7">
        <f t="shared" si="4"/>
        <v>9</v>
      </c>
      <c r="B17" s="40">
        <f t="shared" si="5"/>
        <v>33950.160000000003</v>
      </c>
      <c r="C17" s="44"/>
      <c r="D17" s="40">
        <f t="shared" si="6"/>
        <v>36747.653184000003</v>
      </c>
      <c r="E17" s="41"/>
      <c r="F17" s="40">
        <f>2785.09+44.09</f>
        <v>2829.1800000000003</v>
      </c>
      <c r="G17" s="41"/>
      <c r="H17" s="40">
        <f t="shared" si="7"/>
        <v>3062.3044320000004</v>
      </c>
      <c r="I17" s="41"/>
      <c r="J17" s="40">
        <f>((F17&lt;19968.2/12*1.2434)*913.03/12+(F17&gt;19968.2/12*1.2434)*(F17&lt;20424.71/12*1.2434)*(20424.71/12*-F17/1.2434+456.51/12)+(F17&gt;20424.71/12*1.2434)*(F17&lt;22659.62/12*1.2434)*456.51/12+(F17&gt;22659.62/12*1.2434)*(F17&lt;23116.13/12*1.2434)*(23116.13/12-F17/1.2434))*$W$3</f>
        <v>0</v>
      </c>
      <c r="K17" s="41">
        <f t="shared" si="8"/>
        <v>0</v>
      </c>
      <c r="L17" s="40">
        <f>((F17&lt;19968.2/12*1.2434)*456.51/12+(F17&gt;19968.2/12*1.2434)*(F17&lt;20196.46/12*1.2434)*(20196.46/12-F17/1.2434+228.26/12)+(F17&gt;20196.46/12*1.2434)*(F17&lt;22659.62/12*1.2434)*228.26/12+(F17&gt;22659.62/12*1.2434)*(F17&lt;22887.88/12*1.2434)*(22887.88/12-F17/1.2434))*$W$3</f>
        <v>0</v>
      </c>
      <c r="M17" s="41">
        <f t="shared" si="9"/>
        <v>0</v>
      </c>
      <c r="N17" s="42">
        <f t="shared" si="2"/>
        <v>18.596990477732795</v>
      </c>
      <c r="O17" s="43"/>
      <c r="P17" s="42">
        <f t="shared" si="10"/>
        <v>9.2984952388663977</v>
      </c>
      <c r="Q17" s="43"/>
      <c r="R17" s="42">
        <f t="shared" si="11"/>
        <v>3.7193980955465591</v>
      </c>
      <c r="S17" s="43"/>
      <c r="T17" s="10">
        <f t="shared" si="12"/>
        <v>18.596990477732795</v>
      </c>
      <c r="U17" s="10">
        <f t="shared" si="13"/>
        <v>0.46100735196995518</v>
      </c>
      <c r="V17" s="42">
        <f t="shared" si="3"/>
        <v>17.667140953846154</v>
      </c>
      <c r="W17" s="43"/>
      <c r="Y17" s="20"/>
      <c r="AC17" s="20"/>
    </row>
    <row r="18" spans="1:29" x14ac:dyDescent="0.2">
      <c r="A18" s="7">
        <f t="shared" si="4"/>
        <v>10</v>
      </c>
      <c r="B18" s="40">
        <f t="shared" si="5"/>
        <v>34389.600000000006</v>
      </c>
      <c r="C18" s="44"/>
      <c r="D18" s="40">
        <f t="shared" si="6"/>
        <v>37223.303039999999</v>
      </c>
      <c r="E18" s="41"/>
      <c r="F18" s="40">
        <f>2821.71+44.09</f>
        <v>2865.8</v>
      </c>
      <c r="G18" s="41"/>
      <c r="H18" s="40">
        <f t="shared" si="7"/>
        <v>3101.9419200000002</v>
      </c>
      <c r="I18" s="41"/>
      <c r="J18" s="40">
        <f>((F18&lt;19968.2/12*1.2434)*913.03/12+(F18&gt;19968.2/12*1.2434)*(F18&lt;20424.71/12*1.2434)*(20424.71/12*-F18/1.2434+456.51/12)+(F18&gt;20424.71/12*1.2434)*(F18&lt;22659.62/12*1.2434)*456.51/12+(F18&gt;22659.62/12*1.2434)*(F18&lt;23116.13/12*1.2434)*(23116.13/12-F18/1.2434))*$W$3</f>
        <v>0</v>
      </c>
      <c r="K18" s="41">
        <f t="shared" si="8"/>
        <v>0</v>
      </c>
      <c r="L18" s="40">
        <f>((F18&lt;19968.2/12*1.2434)*456.51/12+(F18&gt;19968.2/12*1.2434)*(F18&lt;20196.46/12*1.2434)*(20196.46/12-F18/1.2434+228.26/12)+(F18&gt;20196.46/12*1.2434)*(F18&lt;22659.62/12*1.2434)*228.26/12+(F18&gt;22659.62/12*1.2434)*(F18&lt;22887.88/12*1.2434)*(22887.88/12-F18/1.2434))*$W$3</f>
        <v>0</v>
      </c>
      <c r="M18" s="41">
        <f t="shared" si="9"/>
        <v>0</v>
      </c>
      <c r="N18" s="42">
        <f t="shared" si="2"/>
        <v>18.837703967611336</v>
      </c>
      <c r="O18" s="43"/>
      <c r="P18" s="42">
        <f t="shared" si="10"/>
        <v>9.4188519838056681</v>
      </c>
      <c r="Q18" s="43"/>
      <c r="R18" s="42">
        <f t="shared" si="11"/>
        <v>3.7675407935222673</v>
      </c>
      <c r="S18" s="43"/>
      <c r="T18" s="10">
        <f t="shared" si="12"/>
        <v>18.837703967611336</v>
      </c>
      <c r="U18" s="10">
        <f t="shared" si="13"/>
        <v>0.46697448351660109</v>
      </c>
      <c r="V18" s="42">
        <f t="shared" si="3"/>
        <v>17.895818769230768</v>
      </c>
      <c r="W18" s="43"/>
      <c r="Y18" s="20"/>
      <c r="AC18" s="20"/>
    </row>
    <row r="19" spans="1:29" x14ac:dyDescent="0.2">
      <c r="A19" s="7">
        <f t="shared" si="4"/>
        <v>11</v>
      </c>
      <c r="B19" s="40">
        <f t="shared" si="5"/>
        <v>34771.200000000004</v>
      </c>
      <c r="C19" s="44"/>
      <c r="D19" s="40">
        <f t="shared" si="6"/>
        <v>37636.346880000005</v>
      </c>
      <c r="E19" s="41"/>
      <c r="F19" s="40">
        <f>2853.51+44.09</f>
        <v>2897.6000000000004</v>
      </c>
      <c r="G19" s="41"/>
      <c r="H19" s="40">
        <f t="shared" si="7"/>
        <v>3136.3622400000004</v>
      </c>
      <c r="I19" s="41"/>
      <c r="J19" s="40">
        <f>((F19&lt;19968.2/12*1.2434)*913.03/12+(F19&gt;19968.2/12*1.2434)*(F19&lt;20424.71/12*1.2434)*(20424.71/12*-F19/1.2434+456.51/12)+(F19&gt;20424.71/12*1.2434)*(F19&lt;22659.62/12*1.2434)*456.51/12+(F19&gt;22659.62/12*1.2434)*(F19&lt;23116.13/12*1.2434)*(23116.13/12-F19/1.2434))*$W$3</f>
        <v>0</v>
      </c>
      <c r="K19" s="41">
        <f t="shared" si="8"/>
        <v>0</v>
      </c>
      <c r="L19" s="40">
        <f>((F19&lt;19968.2/12*1.2434)*456.51/12+(F19&gt;19968.2/12*1.2434)*(F19&lt;20196.46/12*1.2434)*(20196.46/12-F19/1.2434+228.26/12)+(F19&gt;20196.46/12*1.2434)*(F19&lt;22659.62/12*1.2434)*228.26/12+(F19&gt;22659.62/12*1.2434)*(F19&lt;22887.88/12*1.2434)*(22887.88/12-F19/1.2434))*$W$3</f>
        <v>0</v>
      </c>
      <c r="M19" s="41">
        <f t="shared" si="9"/>
        <v>0</v>
      </c>
      <c r="N19" s="42">
        <f t="shared" si="2"/>
        <v>19.046734251012147</v>
      </c>
      <c r="O19" s="43"/>
      <c r="P19" s="42">
        <f t="shared" si="10"/>
        <v>9.5233671255060734</v>
      </c>
      <c r="Q19" s="43"/>
      <c r="R19" s="42">
        <f t="shared" si="11"/>
        <v>3.8093468502024295</v>
      </c>
      <c r="S19" s="43"/>
      <c r="T19" s="10">
        <f t="shared" si="12"/>
        <v>19.046734251012147</v>
      </c>
      <c r="U19" s="10">
        <f t="shared" si="13"/>
        <v>0.47215620889025872</v>
      </c>
      <c r="V19" s="42">
        <f t="shared" si="3"/>
        <v>18.094397538461539</v>
      </c>
      <c r="W19" s="43"/>
      <c r="Y19" s="20"/>
      <c r="AC19" s="20"/>
    </row>
    <row r="20" spans="1:29" x14ac:dyDescent="0.2">
      <c r="A20" s="7">
        <f t="shared" si="4"/>
        <v>12</v>
      </c>
      <c r="B20" s="40">
        <f t="shared" si="5"/>
        <v>35807.160000000003</v>
      </c>
      <c r="C20" s="44"/>
      <c r="D20" s="40">
        <f t="shared" si="6"/>
        <v>38757.669984000007</v>
      </c>
      <c r="E20" s="41"/>
      <c r="F20" s="40">
        <f>2939.84+44.09</f>
        <v>2983.9300000000003</v>
      </c>
      <c r="G20" s="41"/>
      <c r="H20" s="40">
        <f t="shared" si="7"/>
        <v>3229.8058320000005</v>
      </c>
      <c r="I20" s="41"/>
      <c r="J20" s="40">
        <f>((F20&lt;19968.2/12*1.2434)*913.03/12+(F20&gt;19968.2/12*1.2434)*(F20&lt;20424.71/12*1.2434)*(20424.71/12*-F20/1.2434+456.51/12)+(F20&gt;20424.71/12*1.2434)*(F20&lt;22659.62/12*1.2434)*456.51/12+(F20&gt;22659.62/12*1.2434)*(F20&lt;23116.13/12*1.2434)*(23116.13/12-F20/1.2434))*$W$3</f>
        <v>0</v>
      </c>
      <c r="K20" s="41">
        <f t="shared" si="8"/>
        <v>0</v>
      </c>
      <c r="L20" s="40">
        <f>((F20&lt;19968.2/12*1.2434)*456.51/12+(F20&gt;19968.2/12*1.2434)*(F20&lt;20196.46/12*1.2434)*(20196.46/12-F20/1.2434+228.26/12)+(F20&gt;20196.46/12*1.2434)*(F20&lt;22659.62/12*1.2434)*228.26/12+(F20&gt;22659.62/12*1.2434)*(F20&lt;22887.88/12*1.2434)*(22887.88/12-F20/1.2434))*$W$3</f>
        <v>0</v>
      </c>
      <c r="M20" s="41">
        <f t="shared" si="9"/>
        <v>0</v>
      </c>
      <c r="N20" s="42">
        <f t="shared" si="2"/>
        <v>19.614205457489881</v>
      </c>
      <c r="O20" s="43"/>
      <c r="P20" s="42">
        <f t="shared" si="10"/>
        <v>9.8071027287449404</v>
      </c>
      <c r="Q20" s="43"/>
      <c r="R20" s="42">
        <f t="shared" si="11"/>
        <v>3.9228410914979763</v>
      </c>
      <c r="S20" s="43"/>
      <c r="T20" s="10">
        <f t="shared" si="12"/>
        <v>19.614205457489881</v>
      </c>
      <c r="U20" s="10">
        <f t="shared" si="13"/>
        <v>0.48622345264836753</v>
      </c>
      <c r="V20" s="42">
        <f t="shared" si="3"/>
        <v>18.633495184615388</v>
      </c>
      <c r="W20" s="43"/>
      <c r="Y20" s="20"/>
      <c r="AC20" s="20"/>
    </row>
    <row r="21" spans="1:29" x14ac:dyDescent="0.2">
      <c r="A21" s="7">
        <f t="shared" si="4"/>
        <v>13</v>
      </c>
      <c r="B21" s="40">
        <f t="shared" si="5"/>
        <v>35817.24</v>
      </c>
      <c r="C21" s="44"/>
      <c r="D21" s="40">
        <f t="shared" si="6"/>
        <v>38768.580576</v>
      </c>
      <c r="E21" s="41"/>
      <c r="F21" s="40">
        <f>2940.68+44.09</f>
        <v>2984.77</v>
      </c>
      <c r="G21" s="41"/>
      <c r="H21" s="40">
        <f t="shared" si="7"/>
        <v>3230.715048</v>
      </c>
      <c r="I21" s="41"/>
      <c r="J21" s="40">
        <f>((F21&lt;19968.2/12*1.2434)*913.03/12+(F21&gt;19968.2/12*1.2434)*(F21&lt;20424.71/12*1.2434)*(20424.71/12*-F21/1.2434+456.51/12)+(F21&gt;20424.71/12*1.2434)*(F21&lt;22659.62/12*1.2434)*456.51/12+(F21&gt;22659.62/12*1.2434)*(F21&lt;23116.13/12*1.2434)*(23116.13/12-F21/1.2434))*$W$3</f>
        <v>0</v>
      </c>
      <c r="K21" s="41">
        <f t="shared" si="8"/>
        <v>0</v>
      </c>
      <c r="L21" s="40">
        <f>((F21&lt;19968.2/12*1.2434)*456.51/12+(F21&gt;19968.2/12*1.2434)*(F21&lt;20196.46/12*1.2434)*(20196.46/12-F21/1.2434+228.26/12)+(F21&gt;20196.46/12*1.2434)*(F21&lt;22659.62/12*1.2434)*228.26/12+(F21&gt;22659.62/12*1.2434)*(F21&lt;22887.88/12*1.2434)*(22887.88/12-F21/1.2434))*$W$3</f>
        <v>0</v>
      </c>
      <c r="M21" s="41">
        <f t="shared" si="9"/>
        <v>0</v>
      </c>
      <c r="N21" s="42">
        <f t="shared" si="2"/>
        <v>19.619727012145749</v>
      </c>
      <c r="O21" s="43"/>
      <c r="P21" s="42">
        <f t="shared" si="10"/>
        <v>9.8098635060728743</v>
      </c>
      <c r="Q21" s="43"/>
      <c r="R21" s="42">
        <f t="shared" si="11"/>
        <v>3.9239454024291498</v>
      </c>
      <c r="S21" s="43"/>
      <c r="T21" s="10">
        <f t="shared" si="12"/>
        <v>19.619727012145752</v>
      </c>
      <c r="U21" s="10">
        <f t="shared" si="13"/>
        <v>0.48636032841295473</v>
      </c>
      <c r="V21" s="42">
        <f t="shared" si="3"/>
        <v>18.638740661538463</v>
      </c>
      <c r="W21" s="43"/>
      <c r="Y21" s="20"/>
      <c r="AC21" s="20"/>
    </row>
    <row r="22" spans="1:29" x14ac:dyDescent="0.2">
      <c r="A22" s="7">
        <f t="shared" si="4"/>
        <v>14</v>
      </c>
      <c r="B22" s="40">
        <f t="shared" si="5"/>
        <v>37224.840000000004</v>
      </c>
      <c r="C22" s="44"/>
      <c r="D22" s="40">
        <f t="shared" si="6"/>
        <v>40292.166816000004</v>
      </c>
      <c r="E22" s="41"/>
      <c r="F22" s="40">
        <f>3057.98+44.09</f>
        <v>3102.07</v>
      </c>
      <c r="G22" s="41"/>
      <c r="H22" s="40">
        <f t="shared" si="7"/>
        <v>3357.6805680000002</v>
      </c>
      <c r="I22" s="41"/>
      <c r="J22" s="40">
        <f>((F22&lt;19968.2/12*1.2434)*913.03/12+(F22&gt;19968.2/12*1.2434)*(F22&lt;20424.71/12*1.2434)*(20424.71/12*-F22/1.2434+456.51/12)+(F22&gt;20424.71/12*1.2434)*(F22&lt;22659.62/12*1.2434)*456.51/12+(F22&gt;22659.62/12*1.2434)*(F22&lt;23116.13/12*1.2434)*(23116.13/12-F22/1.2434))*$W$3</f>
        <v>0</v>
      </c>
      <c r="K22" s="41">
        <f t="shared" si="8"/>
        <v>0</v>
      </c>
      <c r="L22" s="40">
        <f>((F22&lt;19968.2/12*1.2434)*456.51/12+(F22&gt;19968.2/12*1.2434)*(F22&lt;20196.46/12*1.2434)*(20196.46/12-F22/1.2434+228.26/12)+(F22&gt;20196.46/12*1.2434)*(F22&lt;22659.62/12*1.2434)*228.26/12+(F22&gt;22659.62/12*1.2434)*(F22&lt;22887.88/12*1.2434)*(22887.88/12-F22/1.2434))*$W$3</f>
        <v>0</v>
      </c>
      <c r="M22" s="41">
        <f t="shared" si="9"/>
        <v>0</v>
      </c>
      <c r="N22" s="42">
        <f t="shared" si="2"/>
        <v>20.390772680161945</v>
      </c>
      <c r="O22" s="43"/>
      <c r="P22" s="42">
        <f t="shared" si="10"/>
        <v>10.195386340080972</v>
      </c>
      <c r="Q22" s="43"/>
      <c r="R22" s="42">
        <f t="shared" si="11"/>
        <v>4.0781545360323888</v>
      </c>
      <c r="S22" s="43"/>
      <c r="T22" s="10">
        <f t="shared" si="12"/>
        <v>20.390772680161945</v>
      </c>
      <c r="U22" s="10">
        <f t="shared" si="13"/>
        <v>0.50547405125352185</v>
      </c>
      <c r="V22" s="42">
        <f t="shared" si="3"/>
        <v>19.371234046153848</v>
      </c>
      <c r="W22" s="43"/>
      <c r="Y22" s="20"/>
      <c r="AC22" s="20"/>
    </row>
    <row r="23" spans="1:29" x14ac:dyDescent="0.2">
      <c r="A23" s="7">
        <f t="shared" si="4"/>
        <v>15</v>
      </c>
      <c r="B23" s="40">
        <f t="shared" si="5"/>
        <v>37234.920000000006</v>
      </c>
      <c r="C23" s="44"/>
      <c r="D23" s="40">
        <f t="shared" si="6"/>
        <v>40303.077408000005</v>
      </c>
      <c r="E23" s="41"/>
      <c r="F23" s="40">
        <f>3058.82+44.09</f>
        <v>3102.9100000000003</v>
      </c>
      <c r="G23" s="41"/>
      <c r="H23" s="40">
        <f t="shared" si="7"/>
        <v>3358.5897840000002</v>
      </c>
      <c r="I23" s="41"/>
      <c r="J23" s="40">
        <f>((F23&lt;19968.2/12*1.2434)*913.03/12+(F23&gt;19968.2/12*1.2434)*(F23&lt;20424.71/12*1.2434)*(20424.71/12*-F23/1.2434+456.51/12)+(F23&gt;20424.71/12*1.2434)*(F23&lt;22659.62/12*1.2434)*456.51/12+(F23&gt;22659.62/12*1.2434)*(F23&lt;23116.13/12*1.2434)*(23116.13/12-F23/1.2434))*$W$3</f>
        <v>0</v>
      </c>
      <c r="K23" s="41">
        <f t="shared" si="8"/>
        <v>0</v>
      </c>
      <c r="L23" s="40">
        <f>((F23&lt;19968.2/12*1.2434)*456.51/12+(F23&gt;19968.2/12*1.2434)*(F23&lt;20196.46/12*1.2434)*(20196.46/12-F23/1.2434+228.26/12)+(F23&gt;20196.46/12*1.2434)*(F23&lt;22659.62/12*1.2434)*228.26/12+(F23&gt;22659.62/12*1.2434)*(F23&lt;22887.88/12*1.2434)*(22887.88/12-F23/1.2434))*$W$3</f>
        <v>0</v>
      </c>
      <c r="M23" s="41">
        <f t="shared" si="9"/>
        <v>0</v>
      </c>
      <c r="N23" s="42">
        <f t="shared" si="2"/>
        <v>20.396294234817816</v>
      </c>
      <c r="O23" s="43"/>
      <c r="P23" s="42">
        <f t="shared" si="10"/>
        <v>10.198147117408908</v>
      </c>
      <c r="Q23" s="43"/>
      <c r="R23" s="42">
        <f t="shared" si="11"/>
        <v>4.0792588469635636</v>
      </c>
      <c r="S23" s="43"/>
      <c r="T23" s="10">
        <f t="shared" si="12"/>
        <v>20.396294234817816</v>
      </c>
      <c r="U23" s="10">
        <f t="shared" si="13"/>
        <v>0.50561092701810906</v>
      </c>
      <c r="V23" s="42">
        <f t="shared" si="3"/>
        <v>19.376479523076924</v>
      </c>
      <c r="W23" s="43"/>
      <c r="Y23" s="20"/>
      <c r="AC23" s="20"/>
    </row>
    <row r="24" spans="1:29" x14ac:dyDescent="0.2">
      <c r="A24" s="7">
        <f t="shared" si="4"/>
        <v>16</v>
      </c>
      <c r="B24" s="40">
        <f t="shared" si="5"/>
        <v>39241.920000000006</v>
      </c>
      <c r="C24" s="44"/>
      <c r="D24" s="40">
        <f t="shared" si="6"/>
        <v>42475.45420800001</v>
      </c>
      <c r="E24" s="41"/>
      <c r="F24" s="40">
        <f>3226.07+44.09</f>
        <v>3270.1600000000003</v>
      </c>
      <c r="G24" s="41"/>
      <c r="H24" s="40">
        <f t="shared" si="7"/>
        <v>3539.6211840000005</v>
      </c>
      <c r="I24" s="41"/>
      <c r="J24" s="40">
        <f>((F24&lt;19968.2/12*1.2434)*913.03/12+(F24&gt;19968.2/12*1.2434)*(F24&lt;20424.71/12*1.2434)*(20424.71/12*-F24/1.2434+456.51/12)+(F24&gt;20424.71/12*1.2434)*(F24&lt;22659.62/12*1.2434)*456.51/12+(F24&gt;22659.62/12*1.2434)*(F24&lt;23116.13/12*1.2434)*(23116.13/12-F24/1.2434))*$W$3</f>
        <v>0</v>
      </c>
      <c r="K24" s="41">
        <f t="shared" si="8"/>
        <v>0</v>
      </c>
      <c r="L24" s="40">
        <f>((F24&lt;19968.2/12*1.2434)*456.51/12+(F24&gt;19968.2/12*1.2434)*(F24&lt;20196.46/12*1.2434)*(20196.46/12-F24/1.2434+228.26/12)+(F24&gt;20196.46/12*1.2434)*(F24&lt;22659.62/12*1.2434)*228.26/12+(F24&gt;22659.62/12*1.2434)*(F24&lt;22887.88/12*1.2434)*(22887.88/12-F24/1.2434))*$W$3</f>
        <v>0</v>
      </c>
      <c r="M24" s="41">
        <f t="shared" si="9"/>
        <v>0</v>
      </c>
      <c r="N24" s="42">
        <f t="shared" si="2"/>
        <v>21.495675206477738</v>
      </c>
      <c r="O24" s="43"/>
      <c r="P24" s="42">
        <f t="shared" si="10"/>
        <v>10.747837603238869</v>
      </c>
      <c r="Q24" s="43"/>
      <c r="R24" s="42">
        <f t="shared" si="11"/>
        <v>4.299135041295548</v>
      </c>
      <c r="S24" s="43"/>
      <c r="T24" s="10">
        <f t="shared" si="12"/>
        <v>21.495675206477735</v>
      </c>
      <c r="U24" s="10">
        <f t="shared" si="13"/>
        <v>0.53286386943144959</v>
      </c>
      <c r="V24" s="42">
        <f t="shared" si="3"/>
        <v>20.420891446153853</v>
      </c>
      <c r="W24" s="43"/>
      <c r="Y24" s="20"/>
      <c r="AC24" s="20"/>
    </row>
    <row r="25" spans="1:29" x14ac:dyDescent="0.2">
      <c r="A25" s="7">
        <f t="shared" si="4"/>
        <v>17</v>
      </c>
      <c r="B25" s="40">
        <f t="shared" si="5"/>
        <v>40062.959999999999</v>
      </c>
      <c r="C25" s="44"/>
      <c r="D25" s="40">
        <f t="shared" si="6"/>
        <v>43364.147903999998</v>
      </c>
      <c r="E25" s="41"/>
      <c r="F25" s="40">
        <f>3294.49+44.09</f>
        <v>3338.58</v>
      </c>
      <c r="G25" s="41"/>
      <c r="H25" s="40">
        <f t="shared" si="7"/>
        <v>3613.6789920000001</v>
      </c>
      <c r="I25" s="41"/>
      <c r="J25" s="40">
        <f>((F25&lt;19968.2/12*1.2434)*913.03/12+(F25&gt;19968.2/12*1.2434)*(F25&lt;20424.71/12*1.2434)*(20424.71/12*-F25/1.2434+456.51/12)+(F25&gt;20424.71/12*1.2434)*(F25&lt;22659.62/12*1.2434)*456.51/12+(F25&gt;22659.62/12*1.2434)*(F25&lt;23116.13/12*1.2434)*(23116.13/12-F25/1.2434))*$W$3</f>
        <v>0</v>
      </c>
      <c r="K25" s="41">
        <f t="shared" si="8"/>
        <v>0</v>
      </c>
      <c r="L25" s="40">
        <f>((F25&lt;19968.2/12*1.2434)*456.51/12+(F25&gt;19968.2/12*1.2434)*(F25&lt;20196.46/12*1.2434)*(20196.46/12-F25/1.2434+228.26/12)+(F25&gt;20196.46/12*1.2434)*(F25&lt;22659.62/12*1.2434)*228.26/12+(F25&gt;22659.62/12*1.2434)*(F25&lt;22887.88/12*1.2434)*(22887.88/12-F25/1.2434))*$W$3</f>
        <v>0</v>
      </c>
      <c r="M25" s="41">
        <f t="shared" si="9"/>
        <v>0</v>
      </c>
      <c r="N25" s="42">
        <f t="shared" si="2"/>
        <v>21.945418979757083</v>
      </c>
      <c r="O25" s="43"/>
      <c r="P25" s="42">
        <f t="shared" si="10"/>
        <v>10.972709489878541</v>
      </c>
      <c r="Q25" s="43"/>
      <c r="R25" s="42">
        <f t="shared" si="11"/>
        <v>4.3890837959514162</v>
      </c>
      <c r="S25" s="43"/>
      <c r="T25" s="10">
        <f t="shared" si="12"/>
        <v>21.945418979757086</v>
      </c>
      <c r="U25" s="10">
        <f t="shared" si="13"/>
        <v>0.54401272635175313</v>
      </c>
      <c r="V25" s="42">
        <f t="shared" si="3"/>
        <v>20.848148030769231</v>
      </c>
      <c r="W25" s="43"/>
      <c r="Y25" s="20"/>
      <c r="AC25" s="20"/>
    </row>
    <row r="26" spans="1:29" x14ac:dyDescent="0.2">
      <c r="A26" s="7">
        <f t="shared" si="4"/>
        <v>18</v>
      </c>
      <c r="B26" s="40">
        <f t="shared" si="5"/>
        <v>41238.720000000001</v>
      </c>
      <c r="C26" s="44"/>
      <c r="D26" s="40">
        <f t="shared" si="6"/>
        <v>44636.790527999998</v>
      </c>
      <c r="E26" s="41"/>
      <c r="F26" s="40">
        <f>3392.47+44.09</f>
        <v>3436.56</v>
      </c>
      <c r="G26" s="41"/>
      <c r="H26" s="40">
        <f t="shared" si="7"/>
        <v>3719.732544</v>
      </c>
      <c r="I26" s="41"/>
      <c r="J26" s="40">
        <f>((F26&lt;19968.2/12*1.2434)*913.03/12+(F26&gt;19968.2/12*1.2434)*(F26&lt;20424.71/12*1.2434)*(20424.71/12*-F26/1.2434+456.51/12)+(F26&gt;20424.71/12*1.2434)*(F26&lt;22659.62/12*1.2434)*456.51/12+(F26&gt;22659.62/12*1.2434)*(F26&lt;23116.13/12*1.2434)*(23116.13/12-F26/1.2434))*$W$3</f>
        <v>0</v>
      </c>
      <c r="K26" s="41">
        <f t="shared" si="8"/>
        <v>0</v>
      </c>
      <c r="L26" s="40">
        <f>((F26&lt;19968.2/12*1.2434)*456.51/12+(F26&gt;19968.2/12*1.2434)*(F26&lt;20196.46/12*1.2434)*(20196.46/12-F26/1.2434+228.26/12)+(F26&gt;20196.46/12*1.2434)*(F26&lt;22659.62/12*1.2434)*228.26/12+(F26&gt;22659.62/12*1.2434)*(F26&lt;22887.88/12*1.2434)*(22887.88/12-F26/1.2434))*$W$3</f>
        <v>0</v>
      </c>
      <c r="M26" s="41">
        <f t="shared" si="9"/>
        <v>0</v>
      </c>
      <c r="N26" s="42">
        <f t="shared" si="2"/>
        <v>22.589468890688259</v>
      </c>
      <c r="O26" s="43"/>
      <c r="P26" s="42">
        <f t="shared" si="10"/>
        <v>11.29473444534413</v>
      </c>
      <c r="Q26" s="43"/>
      <c r="R26" s="42">
        <f t="shared" si="11"/>
        <v>4.517893778137652</v>
      </c>
      <c r="S26" s="43"/>
      <c r="T26" s="10">
        <f t="shared" si="12"/>
        <v>22.589468890688259</v>
      </c>
      <c r="U26" s="10">
        <f t="shared" si="13"/>
        <v>0.55997830660681502</v>
      </c>
      <c r="V26" s="42">
        <f t="shared" si="3"/>
        <v>21.459995446153844</v>
      </c>
      <c r="W26" s="43"/>
      <c r="Y26" s="20"/>
      <c r="AC26" s="20"/>
    </row>
    <row r="27" spans="1:29" x14ac:dyDescent="0.2">
      <c r="A27" s="7">
        <f t="shared" si="4"/>
        <v>19</v>
      </c>
      <c r="B27" s="40">
        <f t="shared" si="5"/>
        <v>42059.76</v>
      </c>
      <c r="C27" s="44"/>
      <c r="D27" s="40">
        <f t="shared" si="6"/>
        <v>45525.484224</v>
      </c>
      <c r="E27" s="41"/>
      <c r="F27" s="40">
        <f>3460.89+44.09</f>
        <v>3504.98</v>
      </c>
      <c r="G27" s="41"/>
      <c r="H27" s="40">
        <f t="shared" si="7"/>
        <v>3793.790352</v>
      </c>
      <c r="I27" s="41"/>
      <c r="J27" s="40">
        <f>((F27&lt;19968.2/12*1.2434)*913.03/12+(F27&gt;19968.2/12*1.2434)*(F27&lt;20424.71/12*1.2434)*(20424.71/12*-F27/1.2434+456.51/12)+(F27&gt;20424.71/12*1.2434)*(F27&lt;22659.62/12*1.2434)*456.51/12+(F27&gt;22659.62/12*1.2434)*(F27&lt;23116.13/12*1.2434)*(23116.13/12-F27/1.2434))*$W$3</f>
        <v>0</v>
      </c>
      <c r="K27" s="41">
        <f t="shared" si="8"/>
        <v>0</v>
      </c>
      <c r="L27" s="40">
        <f>((F27&lt;19968.2/12*1.2434)*456.51/12+(F27&gt;19968.2/12*1.2434)*(F27&lt;20196.46/12*1.2434)*(20196.46/12-F27/1.2434+228.26/12)+(F27&gt;20196.46/12*1.2434)*(F27&lt;22659.62/12*1.2434)*228.26/12+(F27&gt;22659.62/12*1.2434)*(F27&lt;22887.88/12*1.2434)*(22887.88/12-F27/1.2434))*$W$3</f>
        <v>0</v>
      </c>
      <c r="M27" s="41">
        <f t="shared" si="9"/>
        <v>0</v>
      </c>
      <c r="N27" s="42">
        <f t="shared" si="2"/>
        <v>23.039212663967611</v>
      </c>
      <c r="O27" s="43"/>
      <c r="P27" s="42">
        <f t="shared" si="10"/>
        <v>11.519606331983805</v>
      </c>
      <c r="Q27" s="43"/>
      <c r="R27" s="42">
        <f t="shared" si="11"/>
        <v>4.607842532793522</v>
      </c>
      <c r="S27" s="43"/>
      <c r="T27" s="10">
        <f t="shared" si="12"/>
        <v>23.039212663967611</v>
      </c>
      <c r="U27" s="10">
        <f t="shared" si="13"/>
        <v>0.57112716352711856</v>
      </c>
      <c r="V27" s="42">
        <f t="shared" si="3"/>
        <v>21.887252030769229</v>
      </c>
      <c r="W27" s="43"/>
      <c r="Y27" s="20"/>
      <c r="AC27" s="20"/>
    </row>
    <row r="28" spans="1:29" x14ac:dyDescent="0.2">
      <c r="A28" s="7">
        <f t="shared" si="4"/>
        <v>20</v>
      </c>
      <c r="B28" s="40">
        <f t="shared" si="5"/>
        <v>42059.76</v>
      </c>
      <c r="C28" s="44"/>
      <c r="D28" s="40">
        <f t="shared" si="6"/>
        <v>45525.484224</v>
      </c>
      <c r="E28" s="41"/>
      <c r="F28" s="40">
        <f>3460.89+44.09</f>
        <v>3504.98</v>
      </c>
      <c r="G28" s="41"/>
      <c r="H28" s="40">
        <f t="shared" si="7"/>
        <v>3793.790352</v>
      </c>
      <c r="I28" s="41"/>
      <c r="J28" s="40">
        <f>((F28&lt;19968.2/12*1.2434)*913.03/12+(F28&gt;19968.2/12*1.2434)*(F28&lt;20424.71/12*1.2434)*(20424.71/12*-F28/1.2434+456.51/12)+(F28&gt;20424.71/12*1.2434)*(F28&lt;22659.62/12*1.2434)*456.51/12+(F28&gt;22659.62/12*1.2434)*(F28&lt;23116.13/12*1.2434)*(23116.13/12-F28/1.2434))*$W$3</f>
        <v>0</v>
      </c>
      <c r="K28" s="41">
        <f t="shared" si="8"/>
        <v>0</v>
      </c>
      <c r="L28" s="40">
        <f>((F28&lt;19968.2/12*1.2434)*456.51/12+(F28&gt;19968.2/12*1.2434)*(F28&lt;20196.46/12*1.2434)*(20196.46/12-F28/1.2434+228.26/12)+(F28&gt;20196.46/12*1.2434)*(F28&lt;22659.62/12*1.2434)*228.26/12+(F28&gt;22659.62/12*1.2434)*(F28&lt;22887.88/12*1.2434)*(22887.88/12-F28/1.2434))*$W$3</f>
        <v>0</v>
      </c>
      <c r="M28" s="41">
        <f t="shared" si="9"/>
        <v>0</v>
      </c>
      <c r="N28" s="42">
        <f t="shared" si="2"/>
        <v>23.039212663967611</v>
      </c>
      <c r="O28" s="43"/>
      <c r="P28" s="42">
        <f t="shared" si="10"/>
        <v>11.519606331983805</v>
      </c>
      <c r="Q28" s="43"/>
      <c r="R28" s="42">
        <f t="shared" si="11"/>
        <v>4.607842532793522</v>
      </c>
      <c r="S28" s="43"/>
      <c r="T28" s="10">
        <f t="shared" si="12"/>
        <v>23.039212663967611</v>
      </c>
      <c r="U28" s="10">
        <f t="shared" si="13"/>
        <v>0.57112716352711856</v>
      </c>
      <c r="V28" s="42">
        <f t="shared" si="3"/>
        <v>21.887252030769229</v>
      </c>
      <c r="W28" s="43"/>
      <c r="Y28" s="20"/>
      <c r="AC28" s="20"/>
    </row>
    <row r="29" spans="1:29" x14ac:dyDescent="0.2">
      <c r="A29" s="7">
        <f t="shared" si="4"/>
        <v>21</v>
      </c>
      <c r="B29" s="40">
        <f t="shared" si="5"/>
        <v>42880.800000000003</v>
      </c>
      <c r="C29" s="44"/>
      <c r="D29" s="40">
        <f t="shared" si="6"/>
        <v>46414.177920000002</v>
      </c>
      <c r="E29" s="41"/>
      <c r="F29" s="40">
        <f>3529.31+44.09</f>
        <v>3573.4</v>
      </c>
      <c r="G29" s="41"/>
      <c r="H29" s="40">
        <f t="shared" si="7"/>
        <v>3867.84816</v>
      </c>
      <c r="I29" s="41"/>
      <c r="J29" s="40">
        <f>((F29&lt;19968.2/12*1.2434)*913.03/12+(F29&gt;19968.2/12*1.2434)*(F29&lt;20424.71/12*1.2434)*(20424.71/12*-F29/1.2434+456.51/12)+(F29&gt;20424.71/12*1.2434)*(F29&lt;22659.62/12*1.2434)*456.51/12+(F29&gt;22659.62/12*1.2434)*(F29&lt;23116.13/12*1.2434)*(23116.13/12-F29/1.2434))*$W$3</f>
        <v>0</v>
      </c>
      <c r="K29" s="41">
        <f t="shared" si="8"/>
        <v>0</v>
      </c>
      <c r="L29" s="40">
        <f>((F29&lt;19968.2/12*1.2434)*456.51/12+(F29&gt;19968.2/12*1.2434)*(F29&lt;20196.46/12*1.2434)*(20196.46/12-F29/1.2434+228.26/12)+(F29&gt;20196.46/12*1.2434)*(F29&lt;22659.62/12*1.2434)*228.26/12+(F29&gt;22659.62/12*1.2434)*(F29&lt;22887.88/12*1.2434)*(22887.88/12-F29/1.2434))*$W$3</f>
        <v>0</v>
      </c>
      <c r="M29" s="41">
        <f t="shared" si="9"/>
        <v>0</v>
      </c>
      <c r="N29" s="42">
        <f t="shared" si="2"/>
        <v>23.488956437246966</v>
      </c>
      <c r="O29" s="43"/>
      <c r="P29" s="42">
        <f t="shared" si="10"/>
        <v>11.744478218623483</v>
      </c>
      <c r="Q29" s="43"/>
      <c r="R29" s="42">
        <f t="shared" si="11"/>
        <v>4.6977912874493928</v>
      </c>
      <c r="S29" s="43"/>
      <c r="T29" s="10">
        <f t="shared" si="12"/>
        <v>23.488956437246966</v>
      </c>
      <c r="U29" s="10">
        <f t="shared" si="13"/>
        <v>0.58227602044742222</v>
      </c>
      <c r="V29" s="42">
        <f t="shared" si="3"/>
        <v>22.314508615384618</v>
      </c>
      <c r="W29" s="43"/>
      <c r="Y29" s="20"/>
      <c r="AC29" s="20"/>
    </row>
    <row r="30" spans="1:29" x14ac:dyDescent="0.2">
      <c r="A30" s="7">
        <f t="shared" si="4"/>
        <v>22</v>
      </c>
      <c r="B30" s="40">
        <f t="shared" si="5"/>
        <v>42944.4</v>
      </c>
      <c r="C30" s="44"/>
      <c r="D30" s="40">
        <f t="shared" si="6"/>
        <v>46483.018560000004</v>
      </c>
      <c r="E30" s="41"/>
      <c r="F30" s="40">
        <f>3534.61+44.09</f>
        <v>3578.7000000000003</v>
      </c>
      <c r="G30" s="41"/>
      <c r="H30" s="40">
        <f t="shared" si="7"/>
        <v>3873.5848800000003</v>
      </c>
      <c r="I30" s="41"/>
      <c r="J30" s="40">
        <f>((F30&lt;19968.2/12*1.2434)*913.03/12+(F30&gt;19968.2/12*1.2434)*(F30&lt;20424.71/12*1.2434)*(20424.71/12*-F30/1.2434+456.51/12)+(F30&gt;20424.71/12*1.2434)*(F30&lt;22659.62/12*1.2434)*456.51/12+(F30&gt;22659.62/12*1.2434)*(F30&lt;23116.13/12*1.2434)*(23116.13/12-F30/1.2434))*$W$3</f>
        <v>0</v>
      </c>
      <c r="K30" s="41">
        <f t="shared" si="8"/>
        <v>0</v>
      </c>
      <c r="L30" s="40">
        <f>((F30&lt;19968.2/12*1.2434)*456.51/12+(F30&gt;19968.2/12*1.2434)*(F30&lt;20196.46/12*1.2434)*(20196.46/12-F30/1.2434+228.26/12)+(F30&gt;20196.46/12*1.2434)*(F30&lt;22659.62/12*1.2434)*228.26/12+(F30&gt;22659.62/12*1.2434)*(F30&lt;22887.88/12*1.2434)*(22887.88/12-F30/1.2434))*$W$3</f>
        <v>0</v>
      </c>
      <c r="M30" s="41">
        <f t="shared" si="9"/>
        <v>0</v>
      </c>
      <c r="N30" s="42">
        <f t="shared" si="2"/>
        <v>23.523794817813766</v>
      </c>
      <c r="O30" s="43"/>
      <c r="P30" s="42">
        <f t="shared" si="10"/>
        <v>11.761897408906883</v>
      </c>
      <c r="Q30" s="43"/>
      <c r="R30" s="42">
        <f t="shared" si="11"/>
        <v>4.7047589635627531</v>
      </c>
      <c r="S30" s="43"/>
      <c r="T30" s="10">
        <f t="shared" si="12"/>
        <v>23.523794817813769</v>
      </c>
      <c r="U30" s="10">
        <f t="shared" si="13"/>
        <v>0.58313964134303187</v>
      </c>
      <c r="V30" s="42">
        <f t="shared" si="3"/>
        <v>22.347605076923077</v>
      </c>
      <c r="W30" s="43"/>
      <c r="Y30" s="20"/>
      <c r="AC30" s="20"/>
    </row>
    <row r="31" spans="1:29" x14ac:dyDescent="0.2">
      <c r="A31" s="7">
        <f t="shared" si="4"/>
        <v>23</v>
      </c>
      <c r="B31" s="40">
        <f t="shared" si="5"/>
        <v>44362.080000000002</v>
      </c>
      <c r="C31" s="44"/>
      <c r="D31" s="40">
        <f t="shared" si="6"/>
        <v>48017.515392000001</v>
      </c>
      <c r="E31" s="41"/>
      <c r="F31" s="40">
        <f>3652.75+44.09</f>
        <v>3696.84</v>
      </c>
      <c r="G31" s="41"/>
      <c r="H31" s="40">
        <f t="shared" si="7"/>
        <v>4001.4596160000001</v>
      </c>
      <c r="I31" s="41"/>
      <c r="J31" s="40">
        <f>((F31&lt;19968.2/12*1.2434)*913.03/12+(F31&gt;19968.2/12*1.2434)*(F31&lt;20424.71/12*1.2434)*(20424.71/12*-F31/1.2434+456.51/12)+(F31&gt;20424.71/12*1.2434)*(F31&lt;22659.62/12*1.2434)*456.51/12+(F31&gt;22659.62/12*1.2434)*(F31&lt;23116.13/12*1.2434)*(23116.13/12-F31/1.2434))*$W$3</f>
        <v>0</v>
      </c>
      <c r="K31" s="41">
        <f t="shared" si="8"/>
        <v>0</v>
      </c>
      <c r="L31" s="40">
        <f>((F31&lt;19968.2/12*1.2434)*456.51/12+(F31&gt;19968.2/12*1.2434)*(F31&lt;20196.46/12*1.2434)*(20196.46/12-F31/1.2434+228.26/12)+(F31&gt;20196.46/12*1.2434)*(F31&lt;22659.62/12*1.2434)*228.26/12+(F31&gt;22659.62/12*1.2434)*(F31&lt;22887.88/12*1.2434)*(22887.88/12-F31/1.2434))*$W$3</f>
        <v>0</v>
      </c>
      <c r="M31" s="41">
        <f t="shared" si="9"/>
        <v>0</v>
      </c>
      <c r="N31" s="42">
        <f t="shared" si="2"/>
        <v>24.30036204048583</v>
      </c>
      <c r="O31" s="43"/>
      <c r="P31" s="42">
        <f t="shared" si="10"/>
        <v>12.150181020242915</v>
      </c>
      <c r="Q31" s="43"/>
      <c r="R31" s="42">
        <f t="shared" si="11"/>
        <v>4.8600724080971656</v>
      </c>
      <c r="S31" s="43"/>
      <c r="T31" s="10">
        <f t="shared" si="12"/>
        <v>24.30036204048583</v>
      </c>
      <c r="U31" s="10">
        <f t="shared" si="13"/>
        <v>0.60239023994818608</v>
      </c>
      <c r="V31" s="42">
        <f t="shared" si="3"/>
        <v>23.085343938461538</v>
      </c>
      <c r="W31" s="43"/>
      <c r="Y31" s="20"/>
      <c r="AC31" s="20"/>
    </row>
    <row r="32" spans="1:29" x14ac:dyDescent="0.2">
      <c r="A32" s="7">
        <f t="shared" si="4"/>
        <v>24</v>
      </c>
      <c r="B32" s="40">
        <f t="shared" si="5"/>
        <v>45769.680000000008</v>
      </c>
      <c r="C32" s="44"/>
      <c r="D32" s="40">
        <f t="shared" si="6"/>
        <v>49541.101632000005</v>
      </c>
      <c r="E32" s="41"/>
      <c r="F32" s="40">
        <f>3770.05+44.09</f>
        <v>3814.1400000000003</v>
      </c>
      <c r="G32" s="41"/>
      <c r="H32" s="40">
        <f t="shared" si="7"/>
        <v>4128.4251360000007</v>
      </c>
      <c r="I32" s="41"/>
      <c r="J32" s="40">
        <f>((F32&lt;19968.2/12*1.2434)*913.03/12+(F32&gt;19968.2/12*1.2434)*(F32&lt;20424.71/12*1.2434)*(20424.71/12*-F32/1.2434+456.51/12)+(F32&gt;20424.71/12*1.2434)*(F32&lt;22659.62/12*1.2434)*456.51/12+(F32&gt;22659.62/12*1.2434)*(F32&lt;23116.13/12*1.2434)*(23116.13/12-F32/1.2434))*$W$3</f>
        <v>0</v>
      </c>
      <c r="K32" s="41">
        <f t="shared" si="8"/>
        <v>0</v>
      </c>
      <c r="L32" s="40">
        <f>((F32&lt;19968.2/12*1.2434)*456.51/12+(F32&gt;19968.2/12*1.2434)*(F32&lt;20196.46/12*1.2434)*(20196.46/12-F32/1.2434+228.26/12)+(F32&gt;20196.46/12*1.2434)*(F32&lt;22659.62/12*1.2434)*228.26/12+(F32&gt;22659.62/12*1.2434)*(F32&lt;22887.88/12*1.2434)*(22887.88/12-F32/1.2434))*$W$3</f>
        <v>0</v>
      </c>
      <c r="M32" s="41">
        <f t="shared" si="9"/>
        <v>0</v>
      </c>
      <c r="N32" s="42">
        <f t="shared" si="2"/>
        <v>25.071407708502026</v>
      </c>
      <c r="O32" s="43"/>
      <c r="P32" s="42">
        <f t="shared" si="10"/>
        <v>12.535703854251013</v>
      </c>
      <c r="Q32" s="43"/>
      <c r="R32" s="42">
        <f t="shared" si="11"/>
        <v>5.014281541700405</v>
      </c>
      <c r="S32" s="43"/>
      <c r="T32" s="10">
        <f t="shared" si="12"/>
        <v>25.071407708502029</v>
      </c>
      <c r="U32" s="10">
        <f t="shared" si="13"/>
        <v>0.62150396278875331</v>
      </c>
      <c r="V32" s="42">
        <f t="shared" si="3"/>
        <v>23.817837323076926</v>
      </c>
      <c r="W32" s="43"/>
      <c r="Y32" s="20"/>
      <c r="AC32" s="20"/>
    </row>
    <row r="33" spans="1:29" x14ac:dyDescent="0.2">
      <c r="A33" s="7">
        <f t="shared" si="4"/>
        <v>25</v>
      </c>
      <c r="B33" s="40">
        <f t="shared" si="5"/>
        <v>45779.64</v>
      </c>
      <c r="C33" s="44"/>
      <c r="D33" s="40">
        <f t="shared" si="6"/>
        <v>49551.88233600001</v>
      </c>
      <c r="E33" s="41"/>
      <c r="F33" s="40">
        <f>3770.88+44.09</f>
        <v>3814.9700000000003</v>
      </c>
      <c r="G33" s="41"/>
      <c r="H33" s="40">
        <f t="shared" si="7"/>
        <v>4129.3235280000008</v>
      </c>
      <c r="I33" s="41"/>
      <c r="J33" s="40">
        <f>((F33&lt;19968.2/12*1.2434)*913.03/12+(F33&gt;19968.2/12*1.2434)*(F33&lt;20424.71/12*1.2434)*(20424.71/12*-F33/1.2434+456.51/12)+(F33&gt;20424.71/12*1.2434)*(F33&lt;22659.62/12*1.2434)*456.51/12+(F33&gt;22659.62/12*1.2434)*(F33&lt;23116.13/12*1.2434)*(23116.13/12-F33/1.2434))*$W$3</f>
        <v>0</v>
      </c>
      <c r="K33" s="41">
        <f t="shared" si="8"/>
        <v>0</v>
      </c>
      <c r="L33" s="40">
        <f>((F33&lt;19968.2/12*1.2434)*456.51/12+(F33&gt;19968.2/12*1.2434)*(F33&lt;20196.46/12*1.2434)*(20196.46/12-F33/1.2434+228.26/12)+(F33&gt;20196.46/12*1.2434)*(F33&lt;22659.62/12*1.2434)*228.26/12+(F33&gt;22659.62/12*1.2434)*(F33&lt;22887.88/12*1.2434)*(22887.88/12-F33/1.2434))*$W$3</f>
        <v>0</v>
      </c>
      <c r="M33" s="41">
        <f t="shared" si="9"/>
        <v>0</v>
      </c>
      <c r="N33" s="42">
        <f t="shared" si="2"/>
        <v>25.076863530364378</v>
      </c>
      <c r="O33" s="43"/>
      <c r="P33" s="42">
        <f t="shared" si="10"/>
        <v>12.538431765182189</v>
      </c>
      <c r="Q33" s="43"/>
      <c r="R33" s="42">
        <f t="shared" si="11"/>
        <v>5.0153727060728759</v>
      </c>
      <c r="S33" s="43"/>
      <c r="T33" s="10">
        <f t="shared" si="12"/>
        <v>25.076863530364378</v>
      </c>
      <c r="U33" s="10">
        <f t="shared" si="13"/>
        <v>0.62163920907995251</v>
      </c>
      <c r="V33" s="42">
        <f t="shared" si="3"/>
        <v>23.823020353846157</v>
      </c>
      <c r="W33" s="43"/>
      <c r="Y33" s="20"/>
      <c r="AC33" s="20"/>
    </row>
    <row r="34" spans="1:29" x14ac:dyDescent="0.2">
      <c r="A34" s="7">
        <f t="shared" si="4"/>
        <v>26</v>
      </c>
      <c r="B34" s="40">
        <f t="shared" si="5"/>
        <v>45779.64</v>
      </c>
      <c r="C34" s="44"/>
      <c r="D34" s="40">
        <f t="shared" si="6"/>
        <v>49551.88233600001</v>
      </c>
      <c r="E34" s="41"/>
      <c r="F34" s="40">
        <f>3770.88+44.09</f>
        <v>3814.9700000000003</v>
      </c>
      <c r="G34" s="41"/>
      <c r="H34" s="40">
        <f t="shared" si="7"/>
        <v>4129.3235280000008</v>
      </c>
      <c r="I34" s="41"/>
      <c r="J34" s="40">
        <f>((F34&lt;19968.2/12*1.2434)*913.03/12+(F34&gt;19968.2/12*1.2434)*(F34&lt;20424.71/12*1.2434)*(20424.71/12*-F34/1.2434+456.51/12)+(F34&gt;20424.71/12*1.2434)*(F34&lt;22659.62/12*1.2434)*456.51/12+(F34&gt;22659.62/12*1.2434)*(F34&lt;23116.13/12*1.2434)*(23116.13/12-F34/1.2434))*$W$3</f>
        <v>0</v>
      </c>
      <c r="K34" s="41">
        <f t="shared" si="8"/>
        <v>0</v>
      </c>
      <c r="L34" s="40">
        <f>((F34&lt;19968.2/12*1.2434)*456.51/12+(F34&gt;19968.2/12*1.2434)*(F34&lt;20196.46/12*1.2434)*(20196.46/12-F34/1.2434+228.26/12)+(F34&gt;20196.46/12*1.2434)*(F34&lt;22659.62/12*1.2434)*228.26/12+(F34&gt;22659.62/12*1.2434)*(F34&lt;22887.88/12*1.2434)*(22887.88/12-F34/1.2434))*$W$3</f>
        <v>0</v>
      </c>
      <c r="M34" s="41">
        <f t="shared" si="9"/>
        <v>0</v>
      </c>
      <c r="N34" s="42">
        <f t="shared" si="2"/>
        <v>25.076863530364378</v>
      </c>
      <c r="O34" s="43"/>
      <c r="P34" s="42">
        <f t="shared" si="10"/>
        <v>12.538431765182189</v>
      </c>
      <c r="Q34" s="43"/>
      <c r="R34" s="42">
        <f t="shared" si="11"/>
        <v>5.0153727060728759</v>
      </c>
      <c r="S34" s="43"/>
      <c r="T34" s="10">
        <f t="shared" si="12"/>
        <v>25.076863530364378</v>
      </c>
      <c r="U34" s="10">
        <f t="shared" si="13"/>
        <v>0.62163920907995251</v>
      </c>
      <c r="V34" s="42">
        <f t="shared" si="3"/>
        <v>23.823020353846157</v>
      </c>
      <c r="W34" s="43"/>
      <c r="Y34" s="20"/>
      <c r="AC34" s="20"/>
    </row>
    <row r="35" spans="1:29" x14ac:dyDescent="0.2">
      <c r="A35" s="7">
        <f t="shared" si="4"/>
        <v>27</v>
      </c>
      <c r="B35" s="40">
        <f t="shared" si="5"/>
        <v>45789.72</v>
      </c>
      <c r="C35" s="44"/>
      <c r="D35" s="40">
        <f t="shared" si="6"/>
        <v>49562.792927999995</v>
      </c>
      <c r="E35" s="41"/>
      <c r="F35" s="40">
        <f>3771.72+44.09</f>
        <v>3815.81</v>
      </c>
      <c r="G35" s="41"/>
      <c r="H35" s="40">
        <f t="shared" si="7"/>
        <v>4130.2327439999999</v>
      </c>
      <c r="I35" s="41"/>
      <c r="J35" s="40">
        <f>((F35&lt;19968.2/12*1.2434)*913.03/12+(F35&gt;19968.2/12*1.2434)*(F35&lt;20424.71/12*1.2434)*(20424.71/12*-F35/1.2434+456.51/12)+(F35&gt;20424.71/12*1.2434)*(F35&lt;22659.62/12*1.2434)*456.51/12+(F35&gt;22659.62/12*1.2434)*(F35&lt;23116.13/12*1.2434)*(23116.13/12-F35/1.2434))*$W$3</f>
        <v>0</v>
      </c>
      <c r="K35" s="41">
        <f t="shared" si="8"/>
        <v>0</v>
      </c>
      <c r="L35" s="40">
        <f>((F35&lt;19968.2/12*1.2434)*456.51/12+(F35&gt;19968.2/12*1.2434)*(F35&lt;20196.46/12*1.2434)*(20196.46/12-F35/1.2434+228.26/12)+(F35&gt;20196.46/12*1.2434)*(F35&lt;22659.62/12*1.2434)*228.26/12+(F35&gt;22659.62/12*1.2434)*(F35&lt;22887.88/12*1.2434)*(22887.88/12-F35/1.2434))*$W$3</f>
        <v>0</v>
      </c>
      <c r="M35" s="41">
        <f t="shared" si="9"/>
        <v>0</v>
      </c>
      <c r="N35" s="42">
        <f t="shared" si="2"/>
        <v>25.082385085020242</v>
      </c>
      <c r="O35" s="43"/>
      <c r="P35" s="42">
        <f t="shared" si="10"/>
        <v>12.541192542510121</v>
      </c>
      <c r="Q35" s="43"/>
      <c r="R35" s="42">
        <f t="shared" si="11"/>
        <v>5.016477017004048</v>
      </c>
      <c r="S35" s="43"/>
      <c r="T35" s="10">
        <f t="shared" si="12"/>
        <v>25.082385085020242</v>
      </c>
      <c r="U35" s="10">
        <f t="shared" si="13"/>
        <v>0.62177608484453961</v>
      </c>
      <c r="V35" s="42">
        <f t="shared" si="3"/>
        <v>23.828265830769229</v>
      </c>
      <c r="W35" s="43"/>
      <c r="Y35" s="20"/>
      <c r="AC35" s="20"/>
    </row>
    <row r="36" spans="1:29" x14ac:dyDescent="0.2">
      <c r="A36" s="11"/>
      <c r="B36" s="45"/>
      <c r="C36" s="46"/>
      <c r="D36" s="45"/>
      <c r="E36" s="46"/>
      <c r="F36" s="12"/>
      <c r="G36" s="12"/>
      <c r="H36" s="45"/>
      <c r="I36" s="46"/>
      <c r="J36" s="45"/>
      <c r="K36" s="46"/>
      <c r="L36" s="45"/>
      <c r="M36" s="46"/>
      <c r="N36" s="45"/>
      <c r="O36" s="46"/>
      <c r="P36" s="45"/>
      <c r="Q36" s="46"/>
      <c r="R36" s="45"/>
      <c r="S36" s="46"/>
      <c r="T36" s="11"/>
      <c r="U36" s="11"/>
      <c r="V36" s="45"/>
      <c r="W36" s="46"/>
    </row>
    <row r="37" spans="1:2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319">
    <mergeCell ref="N36:O36"/>
    <mergeCell ref="R36:S36"/>
    <mergeCell ref="R33:S33"/>
    <mergeCell ref="N34:O34"/>
    <mergeCell ref="P34:Q34"/>
    <mergeCell ref="R34:S34"/>
    <mergeCell ref="V36:W36"/>
    <mergeCell ref="V29:W29"/>
    <mergeCell ref="V30:W30"/>
    <mergeCell ref="V31:W31"/>
    <mergeCell ref="V32:W32"/>
    <mergeCell ref="N35:O35"/>
    <mergeCell ref="P35:Q35"/>
    <mergeCell ref="R35:S35"/>
    <mergeCell ref="P36:Q36"/>
    <mergeCell ref="N33:O33"/>
    <mergeCell ref="V5:W5"/>
    <mergeCell ref="V33:W33"/>
    <mergeCell ref="V34:W34"/>
    <mergeCell ref="V35:W35"/>
    <mergeCell ref="V25:W25"/>
    <mergeCell ref="V23:W23"/>
    <mergeCell ref="V24:W24"/>
    <mergeCell ref="V17:W17"/>
    <mergeCell ref="V18:W18"/>
    <mergeCell ref="V19:W19"/>
    <mergeCell ref="V20:W20"/>
    <mergeCell ref="V11:W11"/>
    <mergeCell ref="V12:W12"/>
    <mergeCell ref="V13:W13"/>
    <mergeCell ref="V14:W14"/>
    <mergeCell ref="V15:W15"/>
    <mergeCell ref="V16:W16"/>
    <mergeCell ref="V7:W7"/>
    <mergeCell ref="V9:W9"/>
    <mergeCell ref="V10:W10"/>
    <mergeCell ref="V26:W26"/>
    <mergeCell ref="V27:W27"/>
    <mergeCell ref="V28:W28"/>
    <mergeCell ref="V21:W21"/>
    <mergeCell ref="V8:W8"/>
    <mergeCell ref="B35:C35"/>
    <mergeCell ref="D35:E35"/>
    <mergeCell ref="H35:I35"/>
    <mergeCell ref="J35:K35"/>
    <mergeCell ref="L33:M33"/>
    <mergeCell ref="B36:C36"/>
    <mergeCell ref="D36:E36"/>
    <mergeCell ref="H36:I36"/>
    <mergeCell ref="J36:K36"/>
    <mergeCell ref="L36:M36"/>
    <mergeCell ref="F33:G33"/>
    <mergeCell ref="F34:G34"/>
    <mergeCell ref="F35:G35"/>
    <mergeCell ref="L34:M34"/>
    <mergeCell ref="L35:M35"/>
    <mergeCell ref="B33:C33"/>
    <mergeCell ref="D33:E33"/>
    <mergeCell ref="H33:I33"/>
    <mergeCell ref="J33:K33"/>
    <mergeCell ref="B34:C34"/>
    <mergeCell ref="D34:E34"/>
    <mergeCell ref="H34:I34"/>
    <mergeCell ref="V22:W22"/>
    <mergeCell ref="J34:K34"/>
    <mergeCell ref="F32:G32"/>
    <mergeCell ref="L31:M31"/>
    <mergeCell ref="N31:O31"/>
    <mergeCell ref="P31:Q31"/>
    <mergeCell ref="R31:S31"/>
    <mergeCell ref="L32:M32"/>
    <mergeCell ref="N32:O32"/>
    <mergeCell ref="P32:Q32"/>
    <mergeCell ref="R32:S32"/>
    <mergeCell ref="P33:Q33"/>
    <mergeCell ref="L29:M29"/>
    <mergeCell ref="N29:O29"/>
    <mergeCell ref="P29:Q29"/>
    <mergeCell ref="R29:S29"/>
    <mergeCell ref="L30:M30"/>
    <mergeCell ref="N30:O30"/>
    <mergeCell ref="P30:Q30"/>
    <mergeCell ref="R30:S30"/>
    <mergeCell ref="B30:C30"/>
    <mergeCell ref="D30:E30"/>
    <mergeCell ref="H30:I30"/>
    <mergeCell ref="J30:K30"/>
    <mergeCell ref="F30:G30"/>
    <mergeCell ref="B29:C29"/>
    <mergeCell ref="D29:E29"/>
    <mergeCell ref="H29:I29"/>
    <mergeCell ref="J29:K29"/>
    <mergeCell ref="F29:G29"/>
    <mergeCell ref="B32:C32"/>
    <mergeCell ref="D32:E32"/>
    <mergeCell ref="H32:I32"/>
    <mergeCell ref="J32:K32"/>
    <mergeCell ref="B31:C31"/>
    <mergeCell ref="D31:E31"/>
    <mergeCell ref="H31:I31"/>
    <mergeCell ref="J31:K31"/>
    <mergeCell ref="F31:G31"/>
    <mergeCell ref="L27:M27"/>
    <mergeCell ref="N27:O27"/>
    <mergeCell ref="P27:Q27"/>
    <mergeCell ref="R27:S27"/>
    <mergeCell ref="L28:M28"/>
    <mergeCell ref="N28:O28"/>
    <mergeCell ref="P28:Q28"/>
    <mergeCell ref="R28:S28"/>
    <mergeCell ref="B26:C26"/>
    <mergeCell ref="D26:E26"/>
    <mergeCell ref="H26:I26"/>
    <mergeCell ref="J26:K26"/>
    <mergeCell ref="B27:C27"/>
    <mergeCell ref="D27:E27"/>
    <mergeCell ref="H27:I27"/>
    <mergeCell ref="J27:K27"/>
    <mergeCell ref="F26:G26"/>
    <mergeCell ref="F27:G27"/>
    <mergeCell ref="B28:C28"/>
    <mergeCell ref="D28:E28"/>
    <mergeCell ref="H28:I28"/>
    <mergeCell ref="J28:K28"/>
    <mergeCell ref="F28:G28"/>
    <mergeCell ref="L25:M25"/>
    <mergeCell ref="N25:O25"/>
    <mergeCell ref="P25:Q25"/>
    <mergeCell ref="R25:S25"/>
    <mergeCell ref="L26:M26"/>
    <mergeCell ref="N26:O26"/>
    <mergeCell ref="P26:Q26"/>
    <mergeCell ref="R26:S26"/>
    <mergeCell ref="B24:C24"/>
    <mergeCell ref="D24:E24"/>
    <mergeCell ref="H24:I24"/>
    <mergeCell ref="J24:K24"/>
    <mergeCell ref="B25:C25"/>
    <mergeCell ref="D25:E25"/>
    <mergeCell ref="H25:I25"/>
    <mergeCell ref="J25:K25"/>
    <mergeCell ref="F24:G24"/>
    <mergeCell ref="F25:G25"/>
    <mergeCell ref="L23:M23"/>
    <mergeCell ref="N23:O23"/>
    <mergeCell ref="P23:Q23"/>
    <mergeCell ref="R23:S23"/>
    <mergeCell ref="L24:M24"/>
    <mergeCell ref="N24:O24"/>
    <mergeCell ref="P24:Q24"/>
    <mergeCell ref="R24:S24"/>
    <mergeCell ref="B22:C22"/>
    <mergeCell ref="D22:E22"/>
    <mergeCell ref="H22:I22"/>
    <mergeCell ref="J22:K22"/>
    <mergeCell ref="B23:C23"/>
    <mergeCell ref="D23:E23"/>
    <mergeCell ref="H23:I23"/>
    <mergeCell ref="J23:K23"/>
    <mergeCell ref="F22:G22"/>
    <mergeCell ref="F23:G23"/>
    <mergeCell ref="L21:M21"/>
    <mergeCell ref="N21:O21"/>
    <mergeCell ref="P21:Q21"/>
    <mergeCell ref="R21:S21"/>
    <mergeCell ref="L22:M22"/>
    <mergeCell ref="N22:O22"/>
    <mergeCell ref="P22:Q22"/>
    <mergeCell ref="R22:S22"/>
    <mergeCell ref="B20:C20"/>
    <mergeCell ref="D20:E20"/>
    <mergeCell ref="H20:I20"/>
    <mergeCell ref="J20:K20"/>
    <mergeCell ref="B21:C21"/>
    <mergeCell ref="D21:E21"/>
    <mergeCell ref="H21:I21"/>
    <mergeCell ref="J21:K21"/>
    <mergeCell ref="F20:G20"/>
    <mergeCell ref="F21:G21"/>
    <mergeCell ref="L19:M19"/>
    <mergeCell ref="N19:O19"/>
    <mergeCell ref="P19:Q19"/>
    <mergeCell ref="R19:S19"/>
    <mergeCell ref="L20:M20"/>
    <mergeCell ref="N20:O20"/>
    <mergeCell ref="P20:Q20"/>
    <mergeCell ref="R20:S20"/>
    <mergeCell ref="B18:C18"/>
    <mergeCell ref="D18:E18"/>
    <mergeCell ref="H18:I18"/>
    <mergeCell ref="J18:K18"/>
    <mergeCell ref="B19:C19"/>
    <mergeCell ref="D19:E19"/>
    <mergeCell ref="H19:I19"/>
    <mergeCell ref="J19:K19"/>
    <mergeCell ref="F18:G18"/>
    <mergeCell ref="F19:G19"/>
    <mergeCell ref="L17:M17"/>
    <mergeCell ref="N17:O17"/>
    <mergeCell ref="P17:Q17"/>
    <mergeCell ref="R17:S17"/>
    <mergeCell ref="L18:M18"/>
    <mergeCell ref="N18:O18"/>
    <mergeCell ref="P18:Q18"/>
    <mergeCell ref="R18:S18"/>
    <mergeCell ref="B16:C16"/>
    <mergeCell ref="D16:E16"/>
    <mergeCell ref="H16:I16"/>
    <mergeCell ref="J16:K16"/>
    <mergeCell ref="B17:C17"/>
    <mergeCell ref="D17:E17"/>
    <mergeCell ref="H17:I17"/>
    <mergeCell ref="J17:K17"/>
    <mergeCell ref="F16:G16"/>
    <mergeCell ref="F17:G17"/>
    <mergeCell ref="L15:M15"/>
    <mergeCell ref="N15:O15"/>
    <mergeCell ref="P15:Q15"/>
    <mergeCell ref="R15:S15"/>
    <mergeCell ref="L16:M16"/>
    <mergeCell ref="N16:O16"/>
    <mergeCell ref="P16:Q16"/>
    <mergeCell ref="R16:S16"/>
    <mergeCell ref="B14:C14"/>
    <mergeCell ref="D14:E14"/>
    <mergeCell ref="H14:I14"/>
    <mergeCell ref="J14:K14"/>
    <mergeCell ref="B15:C15"/>
    <mergeCell ref="D15:E15"/>
    <mergeCell ref="H15:I15"/>
    <mergeCell ref="J15:K15"/>
    <mergeCell ref="F14:G14"/>
    <mergeCell ref="F15:G15"/>
    <mergeCell ref="L13:M13"/>
    <mergeCell ref="N13:O13"/>
    <mergeCell ref="P13:Q13"/>
    <mergeCell ref="R13:S13"/>
    <mergeCell ref="L14:M14"/>
    <mergeCell ref="N14:O14"/>
    <mergeCell ref="P14:Q14"/>
    <mergeCell ref="R14:S14"/>
    <mergeCell ref="B12:C12"/>
    <mergeCell ref="D12:E12"/>
    <mergeCell ref="H12:I12"/>
    <mergeCell ref="J12:K12"/>
    <mergeCell ref="B13:C13"/>
    <mergeCell ref="D13:E13"/>
    <mergeCell ref="H13:I13"/>
    <mergeCell ref="J13:K13"/>
    <mergeCell ref="F13:G13"/>
    <mergeCell ref="F12:G12"/>
    <mergeCell ref="L11:M11"/>
    <mergeCell ref="N11:O11"/>
    <mergeCell ref="P11:Q11"/>
    <mergeCell ref="R11:S11"/>
    <mergeCell ref="L12:M12"/>
    <mergeCell ref="N12:O12"/>
    <mergeCell ref="P12:Q12"/>
    <mergeCell ref="R12:S12"/>
    <mergeCell ref="B10:C10"/>
    <mergeCell ref="D10:E10"/>
    <mergeCell ref="H10:I10"/>
    <mergeCell ref="J10:K10"/>
    <mergeCell ref="B11:C11"/>
    <mergeCell ref="D11:E11"/>
    <mergeCell ref="H11:I11"/>
    <mergeCell ref="J11:K11"/>
    <mergeCell ref="F11:G11"/>
    <mergeCell ref="F10:G10"/>
    <mergeCell ref="L9:M9"/>
    <mergeCell ref="N9:O9"/>
    <mergeCell ref="P9:Q9"/>
    <mergeCell ref="R9:S9"/>
    <mergeCell ref="L10:M10"/>
    <mergeCell ref="N10:O10"/>
    <mergeCell ref="P10:Q10"/>
    <mergeCell ref="R10:S10"/>
    <mergeCell ref="B8:C8"/>
    <mergeCell ref="D8:E8"/>
    <mergeCell ref="H8:I8"/>
    <mergeCell ref="J8:K8"/>
    <mergeCell ref="B9:C9"/>
    <mergeCell ref="D9:E9"/>
    <mergeCell ref="H9:I9"/>
    <mergeCell ref="J9:K9"/>
    <mergeCell ref="F9:G9"/>
    <mergeCell ref="F8:G8"/>
    <mergeCell ref="P7:Q7"/>
    <mergeCell ref="R7:S7"/>
    <mergeCell ref="L8:M8"/>
    <mergeCell ref="N8:O8"/>
    <mergeCell ref="P8:Q8"/>
    <mergeCell ref="R8:S8"/>
    <mergeCell ref="B7:C7"/>
    <mergeCell ref="D7:E7"/>
    <mergeCell ref="H7:I7"/>
    <mergeCell ref="J7:K7"/>
    <mergeCell ref="L7:M7"/>
    <mergeCell ref="N7:O7"/>
    <mergeCell ref="R6:S6"/>
    <mergeCell ref="N6:O6"/>
    <mergeCell ref="P6:Q6"/>
    <mergeCell ref="B5:C5"/>
    <mergeCell ref="H6:I6"/>
    <mergeCell ref="B6:C6"/>
    <mergeCell ref="D6:E6"/>
    <mergeCell ref="J6:K6"/>
    <mergeCell ref="L6:M6"/>
    <mergeCell ref="F6:G6"/>
    <mergeCell ref="L4:M4"/>
    <mergeCell ref="N4:S4"/>
    <mergeCell ref="D5:E5"/>
    <mergeCell ref="H5:I5"/>
    <mergeCell ref="J5:K5"/>
    <mergeCell ref="B4:E4"/>
    <mergeCell ref="J4:K4"/>
    <mergeCell ref="L5:M5"/>
    <mergeCell ref="N5:S5"/>
    <mergeCell ref="F4:I4"/>
  </mergeCells>
  <phoneticPr fontId="5" type="noConversion"/>
  <pageMargins left="0.75" right="0.75" top="1" bottom="1" header="0.5" footer="0.5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MV1bis</vt:lpstr>
    </vt:vector>
  </TitlesOfParts>
  <Company>Vlaams Welzijnsverbond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Looze Steven</dc:creator>
  <cp:lastModifiedBy>Steven De Looze</cp:lastModifiedBy>
  <cp:lastPrinted>2019-10-01T09:03:55Z</cp:lastPrinted>
  <dcterms:created xsi:type="dcterms:W3CDTF">2006-10-25T11:35:01Z</dcterms:created>
  <dcterms:modified xsi:type="dcterms:W3CDTF">2019-11-21T11:09:07Z</dcterms:modified>
</cp:coreProperties>
</file>